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440" windowHeight="11760" activeTab="1"/>
  </bookViews>
  <sheets>
    <sheet name="BS" sheetId="4" r:id="rId1"/>
    <sheet name="Year End" sheetId="3" r:id="rId2"/>
  </sheets>
  <definedNames>
    <definedName name="_xlnm.Print_Area" localSheetId="1">'Year End'!$A$1:$R$224</definedName>
    <definedName name="_xlnm.Print_Titles" localSheetId="1">'Year End'!$1:$6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4" l="1"/>
  <c r="G52" i="4"/>
  <c r="J42" i="4"/>
  <c r="I42" i="4"/>
  <c r="H42" i="4"/>
  <c r="F42" i="4"/>
  <c r="D42" i="4"/>
  <c r="G41" i="4"/>
  <c r="K41" i="4" s="1"/>
  <c r="K40" i="4"/>
  <c r="K39" i="4"/>
  <c r="K38" i="4"/>
  <c r="K37" i="4"/>
  <c r="K36" i="4"/>
  <c r="K42" i="4" s="1"/>
  <c r="K35" i="4"/>
  <c r="J32" i="4"/>
  <c r="J44" i="4" s="1"/>
  <c r="I32" i="4"/>
  <c r="I44" i="4" s="1"/>
  <c r="H32" i="4"/>
  <c r="H44" i="4" s="1"/>
  <c r="G32" i="4"/>
  <c r="F32" i="4"/>
  <c r="F44" i="4" s="1"/>
  <c r="D32" i="4"/>
  <c r="D44" i="4" s="1"/>
  <c r="K31" i="4"/>
  <c r="K30" i="4"/>
  <c r="K29" i="4"/>
  <c r="K28" i="4"/>
  <c r="K27" i="4"/>
  <c r="K26" i="4"/>
  <c r="K25" i="4"/>
  <c r="I21" i="4"/>
  <c r="I46" i="4" s="1"/>
  <c r="D21" i="4"/>
  <c r="D46" i="4" s="1"/>
  <c r="J19" i="4"/>
  <c r="I19" i="4"/>
  <c r="H19" i="4"/>
  <c r="G19" i="4"/>
  <c r="F19" i="4"/>
  <c r="D19" i="4"/>
  <c r="K18" i="4"/>
  <c r="K17" i="4"/>
  <c r="K16" i="4"/>
  <c r="K15" i="4"/>
  <c r="K14" i="4"/>
  <c r="J11" i="4"/>
  <c r="J21" i="4" s="1"/>
  <c r="I11" i="4"/>
  <c r="H11" i="4"/>
  <c r="H21" i="4" s="1"/>
  <c r="H46" i="4" s="1"/>
  <c r="G11" i="4"/>
  <c r="G21" i="4" s="1"/>
  <c r="F11" i="4"/>
  <c r="F21" i="4" s="1"/>
  <c r="D11" i="4"/>
  <c r="K10" i="4"/>
  <c r="K9" i="4"/>
  <c r="K8" i="4"/>
  <c r="K7" i="4"/>
  <c r="F46" i="4" l="1"/>
  <c r="J46" i="4"/>
  <c r="G42" i="4"/>
  <c r="G44" i="4" s="1"/>
  <c r="G46" i="4" s="1"/>
  <c r="D220" i="3" l="1"/>
  <c r="D219" i="3"/>
  <c r="D218" i="3"/>
  <c r="D217" i="3"/>
  <c r="D214" i="3"/>
  <c r="D213" i="3"/>
  <c r="D210" i="3"/>
  <c r="D209" i="3"/>
  <c r="D206" i="3"/>
  <c r="D205" i="3"/>
  <c r="D202" i="3"/>
  <c r="D201" i="3"/>
  <c r="D198" i="3"/>
  <c r="D197" i="3"/>
  <c r="D194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P134" i="3"/>
  <c r="P135" i="3"/>
  <c r="D135" i="3" s="1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0" i="3"/>
  <c r="D139" i="3"/>
  <c r="D138" i="3"/>
  <c r="D137" i="3"/>
  <c r="D136" i="3"/>
  <c r="D134" i="3"/>
  <c r="D133" i="3"/>
  <c r="P128" i="3"/>
  <c r="D128" i="3" s="1"/>
  <c r="P17" i="3"/>
  <c r="D127" i="3"/>
  <c r="D126" i="3"/>
  <c r="D125" i="3"/>
  <c r="D123" i="3"/>
  <c r="D122" i="3"/>
  <c r="D121" i="3"/>
  <c r="D120" i="3"/>
  <c r="D119" i="3"/>
  <c r="D118" i="3"/>
  <c r="D117" i="3"/>
  <c r="D116" i="3"/>
  <c r="D114" i="3"/>
  <c r="D113" i="3"/>
  <c r="D112" i="3"/>
  <c r="D111" i="3"/>
  <c r="D110" i="3"/>
  <c r="D109" i="3"/>
  <c r="D108" i="3"/>
  <c r="D107" i="3"/>
  <c r="D105" i="3"/>
  <c r="D104" i="3"/>
  <c r="D103" i="3"/>
  <c r="D101" i="3"/>
  <c r="D100" i="3"/>
  <c r="D99" i="3"/>
  <c r="D97" i="3"/>
  <c r="D96" i="3"/>
  <c r="D95" i="3"/>
  <c r="D94" i="3"/>
  <c r="D93" i="3"/>
  <c r="D92" i="3"/>
  <c r="D91" i="3"/>
  <c r="D90" i="3"/>
  <c r="D89" i="3"/>
  <c r="D88" i="3"/>
  <c r="D87" i="3"/>
  <c r="D86" i="3"/>
  <c r="D84" i="3"/>
  <c r="D83" i="3"/>
  <c r="D82" i="3"/>
  <c r="D81" i="3"/>
  <c r="D80" i="3"/>
  <c r="D79" i="3"/>
  <c r="D78" i="3"/>
  <c r="D77" i="3"/>
  <c r="D76" i="3"/>
  <c r="D75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3" i="3"/>
  <c r="D42" i="3"/>
  <c r="D41" i="3"/>
  <c r="D40" i="3"/>
  <c r="D39" i="3"/>
  <c r="D38" i="3"/>
  <c r="D37" i="3"/>
  <c r="D36" i="3"/>
  <c r="D35" i="3"/>
  <c r="D34" i="3"/>
  <c r="D33" i="3"/>
  <c r="F13" i="3"/>
  <c r="D13" i="3"/>
  <c r="D29" i="3"/>
  <c r="D28" i="3"/>
  <c r="D27" i="3"/>
  <c r="D26" i="3"/>
  <c r="D25" i="3"/>
  <c r="D24" i="3"/>
  <c r="D23" i="3"/>
  <c r="D22" i="3"/>
  <c r="D21" i="3"/>
  <c r="D20" i="3"/>
  <c r="D18" i="3"/>
  <c r="D17" i="3"/>
  <c r="D15" i="3"/>
  <c r="D14" i="3"/>
  <c r="D12" i="3"/>
  <c r="D11" i="3"/>
  <c r="D10" i="3"/>
  <c r="D9" i="3"/>
  <c r="D8" i="3"/>
  <c r="P102" i="3" l="1"/>
  <c r="R207" i="3"/>
  <c r="Q207" i="3"/>
  <c r="P207" i="3"/>
  <c r="O207" i="3"/>
  <c r="R141" i="3"/>
  <c r="Q141" i="3"/>
  <c r="P141" i="3"/>
  <c r="P195" i="3"/>
  <c r="F15" i="3"/>
  <c r="D141" i="3" l="1"/>
  <c r="R203" i="3" l="1"/>
  <c r="Q203" i="3"/>
  <c r="P203" i="3"/>
  <c r="R199" i="3"/>
  <c r="Q199" i="3"/>
  <c r="P199" i="3"/>
  <c r="F198" i="3"/>
  <c r="F197" i="3"/>
  <c r="F194" i="3"/>
  <c r="R195" i="3"/>
  <c r="Q195" i="3"/>
  <c r="R35" i="3"/>
  <c r="F28" i="3"/>
  <c r="F27" i="3"/>
  <c r="O141" i="3"/>
  <c r="O221" i="3"/>
  <c r="O215" i="3"/>
  <c r="O211" i="3"/>
  <c r="O199" i="3"/>
  <c r="O203" i="3"/>
  <c r="O195" i="3"/>
  <c r="M193" i="3" l="1"/>
  <c r="M195" i="3" s="1"/>
  <c r="L193" i="3"/>
  <c r="L195" i="3" s="1"/>
  <c r="N221" i="3"/>
  <c r="M221" i="3"/>
  <c r="L221" i="3"/>
  <c r="N215" i="3"/>
  <c r="M215" i="3"/>
  <c r="L215" i="3"/>
  <c r="K215" i="3"/>
  <c r="J215" i="3"/>
  <c r="I215" i="3"/>
  <c r="H215" i="3"/>
  <c r="G215" i="3"/>
  <c r="N211" i="3"/>
  <c r="M211" i="3"/>
  <c r="L211" i="3"/>
  <c r="K211" i="3"/>
  <c r="J211" i="3"/>
  <c r="I211" i="3"/>
  <c r="N207" i="3"/>
  <c r="M207" i="3"/>
  <c r="L207" i="3"/>
  <c r="K207" i="3"/>
  <c r="J207" i="3"/>
  <c r="I207" i="3"/>
  <c r="H207" i="3"/>
  <c r="G207" i="3"/>
  <c r="N203" i="3"/>
  <c r="M203" i="3"/>
  <c r="L203" i="3"/>
  <c r="K203" i="3"/>
  <c r="J203" i="3"/>
  <c r="I203" i="3"/>
  <c r="H203" i="3"/>
  <c r="G203" i="3"/>
  <c r="N199" i="3"/>
  <c r="M199" i="3"/>
  <c r="L199" i="3"/>
  <c r="K199" i="3"/>
  <c r="J199" i="3"/>
  <c r="I199" i="3"/>
  <c r="H199" i="3"/>
  <c r="G199" i="3"/>
  <c r="N195" i="3"/>
  <c r="K195" i="3"/>
  <c r="J195" i="3"/>
  <c r="I195" i="3"/>
  <c r="H195" i="3"/>
  <c r="G195" i="3"/>
  <c r="F195" i="3" l="1"/>
  <c r="F199" i="3"/>
  <c r="D193" i="3"/>
  <c r="F193" i="3"/>
  <c r="E221" i="3"/>
  <c r="E215" i="3"/>
  <c r="E211" i="3"/>
  <c r="E207" i="3"/>
  <c r="E203" i="3"/>
  <c r="E199" i="3"/>
  <c r="E19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7" i="3"/>
  <c r="F158" i="3"/>
  <c r="F220" i="3"/>
  <c r="F219" i="3"/>
  <c r="F214" i="3"/>
  <c r="F210" i="3"/>
  <c r="F206" i="3"/>
  <c r="F202" i="3"/>
  <c r="R190" i="3"/>
  <c r="R191" i="3" s="1"/>
  <c r="Q190" i="3"/>
  <c r="Q191" i="3" s="1"/>
  <c r="P190" i="3"/>
  <c r="P191" i="3" s="1"/>
  <c r="O190" i="3"/>
  <c r="O191" i="3" s="1"/>
  <c r="N190" i="3"/>
  <c r="N191" i="3" s="1"/>
  <c r="M190" i="3"/>
  <c r="M191" i="3" s="1"/>
  <c r="L190" i="3"/>
  <c r="L191" i="3" s="1"/>
  <c r="K190" i="3"/>
  <c r="K191" i="3" s="1"/>
  <c r="J190" i="3"/>
  <c r="J191" i="3" s="1"/>
  <c r="I190" i="3"/>
  <c r="I191" i="3" s="1"/>
  <c r="H190" i="3"/>
  <c r="G190" i="3"/>
  <c r="E190" i="3"/>
  <c r="E191" i="3" s="1"/>
  <c r="R159" i="3"/>
  <c r="R160" i="3" s="1"/>
  <c r="Q159" i="3"/>
  <c r="Q160" i="3" s="1"/>
  <c r="P159" i="3"/>
  <c r="P160" i="3" s="1"/>
  <c r="O159" i="3"/>
  <c r="O160" i="3" s="1"/>
  <c r="N159" i="3"/>
  <c r="M159" i="3"/>
  <c r="L159" i="3"/>
  <c r="K159" i="3"/>
  <c r="J159" i="3"/>
  <c r="I159" i="3"/>
  <c r="H159" i="3"/>
  <c r="G159" i="3"/>
  <c r="E159" i="3"/>
  <c r="F218" i="3"/>
  <c r="F217" i="3"/>
  <c r="F213" i="3"/>
  <c r="F209" i="3"/>
  <c r="F205" i="3"/>
  <c r="F201" i="3"/>
  <c r="H164" i="3"/>
  <c r="N141" i="3"/>
  <c r="N160" i="3" s="1"/>
  <c r="M141" i="3"/>
  <c r="M160" i="3" s="1"/>
  <c r="L141" i="3"/>
  <c r="K141" i="3"/>
  <c r="J141" i="3"/>
  <c r="J160" i="3" s="1"/>
  <c r="I141" i="3"/>
  <c r="H141" i="3"/>
  <c r="G141" i="3"/>
  <c r="E141" i="3"/>
  <c r="F140" i="3"/>
  <c r="F139" i="3"/>
  <c r="F138" i="3"/>
  <c r="F137" i="3"/>
  <c r="F136" i="3"/>
  <c r="F135" i="3"/>
  <c r="F134" i="3"/>
  <c r="R129" i="3"/>
  <c r="Q129" i="3"/>
  <c r="O129" i="3"/>
  <c r="M129" i="3"/>
  <c r="L129" i="3"/>
  <c r="J129" i="3"/>
  <c r="G129" i="3"/>
  <c r="F128" i="3"/>
  <c r="E128" i="3"/>
  <c r="F127" i="3"/>
  <c r="F126" i="3"/>
  <c r="F125" i="3"/>
  <c r="H124" i="3"/>
  <c r="F123" i="3"/>
  <c r="F122" i="3"/>
  <c r="F121" i="3"/>
  <c r="F120" i="3"/>
  <c r="E120" i="3"/>
  <c r="F119" i="3"/>
  <c r="E119" i="3"/>
  <c r="F118" i="3"/>
  <c r="E118" i="3"/>
  <c r="F117" i="3"/>
  <c r="F116" i="3"/>
  <c r="E116" i="3"/>
  <c r="H115" i="3"/>
  <c r="F114" i="3"/>
  <c r="F113" i="3"/>
  <c r="F112" i="3"/>
  <c r="E112" i="3"/>
  <c r="F111" i="3"/>
  <c r="F110" i="3"/>
  <c r="F109" i="3"/>
  <c r="F108" i="3"/>
  <c r="F107" i="3"/>
  <c r="H106" i="3"/>
  <c r="F105" i="3"/>
  <c r="F104" i="3"/>
  <c r="F103" i="3"/>
  <c r="I102" i="3"/>
  <c r="H102" i="3"/>
  <c r="D102" i="3" s="1"/>
  <c r="E102" i="3"/>
  <c r="F101" i="3"/>
  <c r="F100" i="3"/>
  <c r="F99" i="3"/>
  <c r="H98" i="3"/>
  <c r="D98" i="3" s="1"/>
  <c r="F97" i="3"/>
  <c r="F96" i="3"/>
  <c r="F95" i="3"/>
  <c r="F94" i="3"/>
  <c r="F93" i="3"/>
  <c r="F92" i="3"/>
  <c r="F91" i="3"/>
  <c r="F90" i="3"/>
  <c r="F89" i="3"/>
  <c r="E89" i="3"/>
  <c r="F88" i="3"/>
  <c r="F87" i="3"/>
  <c r="F86" i="3"/>
  <c r="H85" i="3"/>
  <c r="F84" i="3"/>
  <c r="F83" i="3"/>
  <c r="F82" i="3"/>
  <c r="F81" i="3"/>
  <c r="F80" i="3"/>
  <c r="F79" i="3"/>
  <c r="F78" i="3"/>
  <c r="F77" i="3"/>
  <c r="F76" i="3"/>
  <c r="F75" i="3"/>
  <c r="I74" i="3"/>
  <c r="D74" i="3" s="1"/>
  <c r="E74" i="3"/>
  <c r="F73" i="3"/>
  <c r="F72" i="3"/>
  <c r="F71" i="3"/>
  <c r="F70" i="3"/>
  <c r="F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F49" i="3"/>
  <c r="F48" i="3"/>
  <c r="F47" i="3"/>
  <c r="F46" i="3"/>
  <c r="K45" i="3"/>
  <c r="P44" i="3"/>
  <c r="D44" i="3" s="1"/>
  <c r="F43" i="3"/>
  <c r="F42" i="3"/>
  <c r="E42" i="3"/>
  <c r="F41" i="3"/>
  <c r="F40" i="3"/>
  <c r="F39" i="3"/>
  <c r="F38" i="3"/>
  <c r="F37" i="3"/>
  <c r="F36" i="3"/>
  <c r="F35" i="3"/>
  <c r="F34" i="3"/>
  <c r="F33" i="3"/>
  <c r="R30" i="3"/>
  <c r="Q30" i="3"/>
  <c r="P30" i="3"/>
  <c r="O30" i="3"/>
  <c r="N30" i="3"/>
  <c r="M30" i="3"/>
  <c r="L30" i="3"/>
  <c r="K30" i="3"/>
  <c r="I30" i="3"/>
  <c r="G30" i="3"/>
  <c r="F29" i="3"/>
  <c r="F26" i="3"/>
  <c r="F25" i="3"/>
  <c r="F24" i="3"/>
  <c r="F23" i="3"/>
  <c r="F22" i="3"/>
  <c r="F21" i="3"/>
  <c r="F20" i="3"/>
  <c r="H19" i="3"/>
  <c r="F18" i="3"/>
  <c r="F17" i="3"/>
  <c r="J16" i="3"/>
  <c r="F14" i="3"/>
  <c r="F12" i="3"/>
  <c r="F11" i="3"/>
  <c r="F10" i="3"/>
  <c r="E10" i="3"/>
  <c r="F9" i="3"/>
  <c r="F8" i="3"/>
  <c r="E8" i="3"/>
  <c r="J30" i="3" l="1"/>
  <c r="D16" i="3"/>
  <c r="F16" i="3"/>
  <c r="F115" i="3"/>
  <c r="D115" i="3"/>
  <c r="F124" i="3"/>
  <c r="D124" i="3"/>
  <c r="F85" i="3"/>
  <c r="D85" i="3"/>
  <c r="F106" i="3"/>
  <c r="D106" i="3"/>
  <c r="H30" i="3"/>
  <c r="D19" i="3"/>
  <c r="K129" i="3"/>
  <c r="K130" i="3" s="1"/>
  <c r="K162" i="3" s="1"/>
  <c r="K223" i="3" s="1"/>
  <c r="D45" i="3"/>
  <c r="L160" i="3"/>
  <c r="F164" i="3"/>
  <c r="D164" i="3"/>
  <c r="K160" i="3"/>
  <c r="F141" i="3"/>
  <c r="D221" i="3"/>
  <c r="F221" i="3"/>
  <c r="F203" i="3"/>
  <c r="D215" i="3"/>
  <c r="F215" i="3"/>
  <c r="F211" i="3"/>
  <c r="D199" i="3"/>
  <c r="D203" i="3"/>
  <c r="F207" i="3"/>
  <c r="D211" i="3"/>
  <c r="D207" i="3"/>
  <c r="D195" i="3"/>
  <c r="F44" i="3"/>
  <c r="F98" i="3"/>
  <c r="E160" i="3"/>
  <c r="G130" i="3"/>
  <c r="G162" i="3" s="1"/>
  <c r="G223" i="3" s="1"/>
  <c r="D190" i="3"/>
  <c r="J130" i="3"/>
  <c r="J162" i="3" s="1"/>
  <c r="J223" i="3" s="1"/>
  <c r="L130" i="3"/>
  <c r="O130" i="3"/>
  <c r="O162" i="3" s="1"/>
  <c r="O223" i="3" s="1"/>
  <c r="P129" i="3"/>
  <c r="P130" i="3" s="1"/>
  <c r="P162" i="3" s="1"/>
  <c r="P223" i="3" s="1"/>
  <c r="Q130" i="3"/>
  <c r="Q162" i="3" s="1"/>
  <c r="Q223" i="3" s="1"/>
  <c r="H129" i="3"/>
  <c r="F190" i="3"/>
  <c r="M130" i="3"/>
  <c r="M162" i="3" s="1"/>
  <c r="M223" i="3" s="1"/>
  <c r="D159" i="3"/>
  <c r="F159" i="3"/>
  <c r="R130" i="3"/>
  <c r="R162" i="3" s="1"/>
  <c r="R223" i="3" s="1"/>
  <c r="E30" i="3"/>
  <c r="E129" i="3"/>
  <c r="F102" i="3"/>
  <c r="N129" i="3"/>
  <c r="N130" i="3" s="1"/>
  <c r="N162" i="3" s="1"/>
  <c r="N223" i="3" s="1"/>
  <c r="F74" i="3"/>
  <c r="F19" i="3"/>
  <c r="F45" i="3"/>
  <c r="I129" i="3"/>
  <c r="I130" i="3" s="1"/>
  <c r="I162" i="3" s="1"/>
  <c r="I223" i="3" s="1"/>
  <c r="F191" i="3" l="1"/>
  <c r="H130" i="3"/>
  <c r="H162" i="3" s="1"/>
  <c r="H223" i="3" s="1"/>
  <c r="L162" i="3"/>
  <c r="L223" i="3" s="1"/>
  <c r="F160" i="3"/>
  <c r="F30" i="3"/>
  <c r="D191" i="3"/>
  <c r="D30" i="3"/>
  <c r="D129" i="3"/>
  <c r="D160" i="3"/>
  <c r="E130" i="3"/>
  <c r="F129" i="3"/>
  <c r="D130" i="3" l="1"/>
  <c r="D162" i="3" s="1"/>
  <c r="D223" i="3" s="1"/>
  <c r="F130" i="3"/>
  <c r="F162" i="3" s="1"/>
  <c r="E162" i="3"/>
  <c r="E223" i="3" l="1"/>
  <c r="F223" i="3"/>
</calcChain>
</file>

<file path=xl/sharedStrings.xml><?xml version="1.0" encoding="utf-8"?>
<sst xmlns="http://schemas.openxmlformats.org/spreadsheetml/2006/main" count="374" uniqueCount="289">
  <si>
    <t>Equipment rental</t>
  </si>
  <si>
    <t>Miscellaneous</t>
  </si>
  <si>
    <t>Interest income</t>
  </si>
  <si>
    <t>New Member Process Fee</t>
  </si>
  <si>
    <t>Kiwanis of MI Fd</t>
  </si>
  <si>
    <t>Budget</t>
  </si>
  <si>
    <t>Income</t>
  </si>
  <si>
    <t>Total Income</t>
  </si>
  <si>
    <t>Expenses</t>
  </si>
  <si>
    <t>Gov - International Convention</t>
  </si>
  <si>
    <t>Gov - travel, phone, meals</t>
  </si>
  <si>
    <t>Gov Elect - Intl Convention</t>
  </si>
  <si>
    <t>Gov Elect - travel, phone, meals</t>
  </si>
  <si>
    <t>Gov Elect - next admin</t>
  </si>
  <si>
    <t>Imm. Past Gov - Intl Convention</t>
  </si>
  <si>
    <t>Imm. Past Gov - travel, phone</t>
  </si>
  <si>
    <t>Executive Director - salary</t>
  </si>
  <si>
    <t>Executive Director - Intl Convention</t>
  </si>
  <si>
    <t>Executive Director - Intl Meetings</t>
  </si>
  <si>
    <t>1-22</t>
  </si>
  <si>
    <t>01</t>
  </si>
  <si>
    <t>02</t>
  </si>
  <si>
    <t>08</t>
  </si>
  <si>
    <t>04</t>
  </si>
  <si>
    <t>03</t>
  </si>
  <si>
    <t>05</t>
  </si>
  <si>
    <t>Lt Gov - travel, phone, meals</t>
  </si>
  <si>
    <t>Lt Gov Elect - Intl Convention</t>
  </si>
  <si>
    <t>Lt Gov Elect - District Convention</t>
  </si>
  <si>
    <t>Reconciliations discrepancies</t>
  </si>
  <si>
    <t>Other committees</t>
  </si>
  <si>
    <t>Education and development</t>
  </si>
  <si>
    <t>On to Convention</t>
  </si>
  <si>
    <t>Strategic planning</t>
  </si>
  <si>
    <t>On to Chair District travel</t>
  </si>
  <si>
    <t>Admin Secretary salary</t>
  </si>
  <si>
    <t>Admin Secretary SEP-IRA</t>
  </si>
  <si>
    <t>Admin Secretary - hospital ins.</t>
  </si>
  <si>
    <t>Paper / envelopes</t>
  </si>
  <si>
    <t>Directories</t>
  </si>
  <si>
    <t>Postage stamps</t>
  </si>
  <si>
    <t xml:space="preserve">Office phones </t>
  </si>
  <si>
    <t>Executive Director - cell</t>
  </si>
  <si>
    <t>06</t>
  </si>
  <si>
    <t>Casualty insurance</t>
  </si>
  <si>
    <t>Work comp insurance</t>
  </si>
  <si>
    <t>D &amp; O insurance</t>
  </si>
  <si>
    <t>Software</t>
  </si>
  <si>
    <t>Supplies</t>
  </si>
  <si>
    <t>Usage and Files fees</t>
  </si>
  <si>
    <t>Office Annual Audit</t>
  </si>
  <si>
    <t>Office taxes - payroll</t>
  </si>
  <si>
    <t>Office equipment - repairs</t>
  </si>
  <si>
    <t>Utilities - gas and electric</t>
  </si>
  <si>
    <t>Utilities - water</t>
  </si>
  <si>
    <t>Utilities - trash removal</t>
  </si>
  <si>
    <t>Builder layout</t>
  </si>
  <si>
    <t>District board mtg - September</t>
  </si>
  <si>
    <t>District board mtg - January</t>
  </si>
  <si>
    <t>District board mtg - June</t>
  </si>
  <si>
    <t>District board mtg - August</t>
  </si>
  <si>
    <t>Lt Gov. Training</t>
  </si>
  <si>
    <t>International officer visit</t>
  </si>
  <si>
    <t>Property taxes - buidling</t>
  </si>
  <si>
    <t>Lawn service</t>
  </si>
  <si>
    <t>Snow removal</t>
  </si>
  <si>
    <t>Cleaning</t>
  </si>
  <si>
    <t>Repairs</t>
  </si>
  <si>
    <t>Total expenses</t>
  </si>
  <si>
    <t>Meals and events</t>
  </si>
  <si>
    <t>Program Ads</t>
  </si>
  <si>
    <t>Members fee from dues</t>
  </si>
  <si>
    <t>Exhibitor fees</t>
  </si>
  <si>
    <t>Mileage reimbursement</t>
  </si>
  <si>
    <t>Speakers and presenters</t>
  </si>
  <si>
    <t>Gifts</t>
  </si>
  <si>
    <t>VIP rooms</t>
  </si>
  <si>
    <t>Exhibit space</t>
  </si>
  <si>
    <t>Decorations</t>
  </si>
  <si>
    <t>Transportation</t>
  </si>
  <si>
    <t>Other expenses</t>
  </si>
  <si>
    <t>Michigan District of Kiwanis International</t>
  </si>
  <si>
    <t>Profit &amp; Loss Statement</t>
  </si>
  <si>
    <t>Executive Director - incentive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</si>
  <si>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</si>
  <si>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</si>
  <si>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</si>
  <si>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</si>
  <si>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</si>
  <si>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</si>
  <si>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</si>
  <si>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</si>
  <si>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</si>
  <si>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</si>
  <si>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</si>
  <si>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</si>
  <si>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Internet</t>
  </si>
  <si>
    <t>c</t>
  </si>
  <si>
    <t>e</t>
  </si>
  <si>
    <t>a</t>
  </si>
  <si>
    <t>o</t>
  </si>
  <si>
    <t>m</t>
  </si>
  <si>
    <t>d</t>
  </si>
  <si>
    <t>f</t>
  </si>
  <si>
    <t>n</t>
  </si>
  <si>
    <t>b</t>
  </si>
  <si>
    <t>g</t>
  </si>
  <si>
    <t>h</t>
  </si>
  <si>
    <t>j</t>
  </si>
  <si>
    <t>Total</t>
  </si>
  <si>
    <t>Advisor 4</t>
  </si>
  <si>
    <t>Advisor 5</t>
  </si>
  <si>
    <t>Shirts</t>
  </si>
  <si>
    <t>Invocations Books</t>
  </si>
  <si>
    <t>LG Regional Meeting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</si>
  <si>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</si>
  <si>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</si>
  <si>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</si>
  <si>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</si>
  <si>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</si>
  <si>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</si>
  <si>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</si>
  <si>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</si>
  <si>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</si>
  <si>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Assistant Administrator</t>
  </si>
  <si>
    <t>Aktion Club Governor</t>
  </si>
  <si>
    <t>Key Leader Coordinator Smart</t>
  </si>
  <si>
    <t>Lt Gov - Int. Convention (18)</t>
  </si>
  <si>
    <t>Lt Gov - District Convention (18)</t>
  </si>
  <si>
    <t>Human and Spiritual Values</t>
  </si>
  <si>
    <t>Michigan  District of Kiwanis International</t>
  </si>
  <si>
    <t>Statement of Assets, Liabilities, and Fund Balance</t>
  </si>
  <si>
    <t>Assets</t>
  </si>
  <si>
    <t>Current Assets</t>
  </si>
  <si>
    <t>Checking</t>
  </si>
  <si>
    <t xml:space="preserve">Hi Fi MMA </t>
  </si>
  <si>
    <t>Fixed Assets</t>
  </si>
  <si>
    <t>Furniture and Equipment</t>
  </si>
  <si>
    <t>Accumulated depreciation</t>
  </si>
  <si>
    <t>Land</t>
  </si>
  <si>
    <t>Building</t>
  </si>
  <si>
    <t>Total assets</t>
  </si>
  <si>
    <t>Liabilities and Fund Balance</t>
  </si>
  <si>
    <t>Current liabilities</t>
  </si>
  <si>
    <t>Accounts payable</t>
  </si>
  <si>
    <t>Accrued Federal withholding</t>
  </si>
  <si>
    <t>Accrued F.I.C.A</t>
  </si>
  <si>
    <t>Accrued State withholding</t>
  </si>
  <si>
    <t>Accrued State unemployment</t>
  </si>
  <si>
    <t>Accrued Federal unemployment</t>
  </si>
  <si>
    <t>Fund Balance</t>
  </si>
  <si>
    <t>Members equity</t>
  </si>
  <si>
    <t>Service leadership</t>
  </si>
  <si>
    <t>Past Gov council</t>
  </si>
  <si>
    <t>District Life Memberships</t>
  </si>
  <si>
    <t>Permanent Build Capital</t>
  </si>
  <si>
    <t>Total current liabilities</t>
  </si>
  <si>
    <t>Total fixed assets</t>
  </si>
  <si>
    <t>Total current assets</t>
  </si>
  <si>
    <t>Total fund balance</t>
  </si>
  <si>
    <t>Total liabilities and fund balance</t>
  </si>
  <si>
    <t>Past Gov</t>
  </si>
  <si>
    <t>Council</t>
  </si>
  <si>
    <t>District</t>
  </si>
  <si>
    <t>Life Mem.</t>
  </si>
  <si>
    <t>General</t>
  </si>
  <si>
    <t>Fund</t>
  </si>
  <si>
    <t>Net income (loss)</t>
  </si>
  <si>
    <t xml:space="preserve">CK Administrator </t>
  </si>
  <si>
    <t xml:space="preserve">CK Asst </t>
  </si>
  <si>
    <t>Executive Director - travel, phone, meals</t>
  </si>
  <si>
    <t>Actual</t>
  </si>
  <si>
    <t xml:space="preserve">Marketing </t>
  </si>
  <si>
    <t>Pins, plaques, badges, and patches</t>
  </si>
  <si>
    <t>Young Children Priority One</t>
  </si>
  <si>
    <t>07</t>
  </si>
  <si>
    <t>Growth team (formula)</t>
  </si>
  <si>
    <t>KC Admin Assistant</t>
  </si>
  <si>
    <t xml:space="preserve">KC Administrator </t>
  </si>
  <si>
    <t xml:space="preserve">Aktion Administrator </t>
  </si>
  <si>
    <t>Aktion Club Annual Convention</t>
  </si>
  <si>
    <t xml:space="preserve">Builder Club Admin </t>
  </si>
  <si>
    <t>Pins</t>
  </si>
  <si>
    <t>k</t>
  </si>
  <si>
    <t>Accounts receivable</t>
  </si>
  <si>
    <t>Projected</t>
  </si>
  <si>
    <t>New club expense reimbursement</t>
  </si>
  <si>
    <t>Zone Advisor 1</t>
  </si>
  <si>
    <t>Zone Advisor 2</t>
  </si>
  <si>
    <t>Zone Advisor 3</t>
  </si>
  <si>
    <t>Zone Advisor 4</t>
  </si>
  <si>
    <t>Zone Advisor 6</t>
  </si>
  <si>
    <t>Payroll liabilities</t>
  </si>
  <si>
    <t>Pens</t>
  </si>
  <si>
    <t>Hats</t>
  </si>
  <si>
    <t>Cell Phone Card Holders</t>
  </si>
  <si>
    <t>Income (loss) from operations</t>
  </si>
  <si>
    <t>2016-2017</t>
  </si>
  <si>
    <t xml:space="preserve">Miscellaneous </t>
  </si>
  <si>
    <t>Lt Gov - travel, phone, meals $4,000</t>
  </si>
  <si>
    <t>Temp Help</t>
  </si>
  <si>
    <t>Postage / equipment / supplies</t>
  </si>
  <si>
    <t>Office expense - Credit card fees</t>
  </si>
  <si>
    <t>Asst Admin for Conf</t>
  </si>
  <si>
    <t>Covention Fees</t>
  </si>
  <si>
    <t>p</t>
  </si>
  <si>
    <t>Aktion Administrator Schleicher</t>
  </si>
  <si>
    <t>Dist Chair Conv reimbursement</t>
  </si>
  <si>
    <t>Ribbons, Tickets, Badges, Banners</t>
  </si>
  <si>
    <t xml:space="preserve">Period Ending September 30, </t>
  </si>
  <si>
    <t>Associate Partners</t>
  </si>
  <si>
    <t xml:space="preserve">Office expense - other </t>
  </si>
  <si>
    <t>Capital Purchase Equipment</t>
  </si>
  <si>
    <t xml:space="preserve">Zone Advisor 5 </t>
  </si>
  <si>
    <t>Program printing</t>
  </si>
  <si>
    <t>Miscellaneous (raffle proceeds)</t>
  </si>
  <si>
    <t>Gov Travel - Indianapolis</t>
  </si>
  <si>
    <t>Past gov increase</t>
  </si>
  <si>
    <t>Mats</t>
  </si>
  <si>
    <t>09</t>
  </si>
  <si>
    <t>New club - Birmingham</t>
  </si>
  <si>
    <t>Gov - KI Expenses</t>
  </si>
  <si>
    <t>Gov  Elect- KI Expenses</t>
  </si>
  <si>
    <t>Children's Fund Grant</t>
  </si>
  <si>
    <t>Merchand Discount CC</t>
  </si>
  <si>
    <t>VIP meals</t>
  </si>
  <si>
    <t>Plaques and Awards</t>
  </si>
  <si>
    <t>Bldg maintenance (sinking Fund)</t>
  </si>
  <si>
    <t>District Convention Income</t>
  </si>
  <si>
    <t>Total District Convention Income</t>
  </si>
  <si>
    <t>Service Leadership Income  $5 or $3</t>
  </si>
  <si>
    <t xml:space="preserve">Law Academy Income </t>
  </si>
  <si>
    <t xml:space="preserve">Fall Leadership Income </t>
  </si>
  <si>
    <t xml:space="preserve">Past Gov Council Income </t>
  </si>
  <si>
    <t xml:space="preserve">District Events Income </t>
  </si>
  <si>
    <t xml:space="preserve">District Life Member Income </t>
  </si>
  <si>
    <t>District Convention Expenses</t>
  </si>
  <si>
    <t>Total District Convention Expenses</t>
  </si>
  <si>
    <t>Service Leadership Expenses</t>
  </si>
  <si>
    <t>Total Service Leadership Expenses</t>
  </si>
  <si>
    <t>Z</t>
  </si>
  <si>
    <t>Fall Leadership Expenses</t>
  </si>
  <si>
    <t>Past Gov Council Expenses</t>
  </si>
  <si>
    <t>District Events Expenses</t>
  </si>
  <si>
    <t>District Life Member Expenses</t>
  </si>
  <si>
    <t xml:space="preserve">Eliminate Fulfillment - Donations </t>
  </si>
  <si>
    <t>Law Academy Expenses</t>
  </si>
  <si>
    <t>Eliminate Fulfillment Expenses</t>
  </si>
  <si>
    <t>Eliminate Fulfillment Expense- shoe project</t>
  </si>
  <si>
    <t>Net Income</t>
  </si>
  <si>
    <t>Gov  Elt Travel - Indy</t>
  </si>
  <si>
    <t xml:space="preserve">Club Leadership Income </t>
  </si>
  <si>
    <t>Club Leadership Expenses</t>
  </si>
  <si>
    <t>Per Capita Dues $38 - 4500 (actual 4300)</t>
  </si>
  <si>
    <t>New club - Gibraltar</t>
  </si>
  <si>
    <t>Payroll expenses - direct dep fees</t>
  </si>
  <si>
    <t>Sponsorships</t>
  </si>
  <si>
    <t>Thank You Boxes</t>
  </si>
  <si>
    <t>Invocation Books</t>
  </si>
  <si>
    <t>Planning meeting</t>
  </si>
  <si>
    <t>New club - Berkley</t>
  </si>
  <si>
    <t>Rich Baldwin Book</t>
  </si>
  <si>
    <t>Building Fund Savings - Dart Bk</t>
  </si>
  <si>
    <t>$1,200 Grant From KI</t>
  </si>
  <si>
    <t>Net District Convention income(expenses)</t>
  </si>
  <si>
    <t>Net Service Leadership income (expenses)</t>
  </si>
  <si>
    <t>Net Law Acedemy income (expenses)</t>
  </si>
  <si>
    <t>Net Fall Leadership income (expenses)</t>
  </si>
  <si>
    <t>Net Club Leadership income (expenses)</t>
  </si>
  <si>
    <t>Net Past Gov Council income (expenses)</t>
  </si>
  <si>
    <t>Net District Events income (expenses)</t>
  </si>
  <si>
    <t>Net District Life Member income (expenses)</t>
  </si>
  <si>
    <t>Eliminate Fulfillment - Shoes income</t>
  </si>
  <si>
    <t>Net Eliminate Fulfillment - shoes</t>
  </si>
  <si>
    <t>K Kids Administrator - Foster</t>
  </si>
  <si>
    <t>Key Leader Admin Abadie</t>
  </si>
  <si>
    <t>New club - Clarkston</t>
  </si>
  <si>
    <t>New club - Lansing YP</t>
  </si>
  <si>
    <t>Service Leadership</t>
  </si>
  <si>
    <t>Restricted</t>
  </si>
  <si>
    <t>Accounts</t>
  </si>
  <si>
    <t>Restricted accounts</t>
  </si>
  <si>
    <t>Law Academy</t>
  </si>
  <si>
    <t>Fall Leadership</t>
  </si>
  <si>
    <t>Club Leadership</t>
  </si>
  <si>
    <t>Program Income Category</t>
  </si>
  <si>
    <t xml:space="preserve">Projected </t>
  </si>
  <si>
    <t>Income/ Exp.</t>
  </si>
  <si>
    <t>Net income from general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</si>
</sst>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15" fontId="2" fillId="0" borderId="0" xfId="0" applyNumberFormat="1" applyFont="1" applyAlignment="1">
      <alignment horizontal="center"/>
    </xf>
    <xf numFmtId="0" fontId="2" fillId="0" borderId="0" xfId="0" applyFont="1"/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/>
    <xf numFmtId="16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Border="1"/>
    <xf numFmtId="43" fontId="2" fillId="0" borderId="2" xfId="1" applyFont="1" applyBorder="1"/>
    <xf numFmtId="164" fontId="3" fillId="0" borderId="0" xfId="1" quotePrefix="1" applyNumberFormat="1" applyFont="1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5" fillId="0" borderId="0" xfId="0" applyFont="1" applyAlignment="1">
      <alignment horizontal="center"/>
    </xf>
    <xf numFmtId="43" fontId="4" fillId="0" borderId="0" xfId="1" applyFont="1"/>
    <xf numFmtId="43" fontId="4" fillId="0" borderId="1" xfId="1" applyFont="1" applyBorder="1"/>
    <xf numFmtId="43" fontId="4" fillId="0" borderId="2" xfId="1" applyFont="1" applyBorder="1"/>
    <xf numFmtId="43" fontId="4" fillId="0" borderId="0" xfId="1" applyFont="1" applyBorder="1"/>
    <xf numFmtId="43" fontId="4" fillId="0" borderId="3" xfId="1" applyFont="1" applyBorder="1"/>
    <xf numFmtId="43" fontId="4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7" fillId="2" borderId="0" xfId="0" applyFont="1" applyFill="1"/>
    <xf numFmtId="43" fontId="2" fillId="0" borderId="0" xfId="0" applyNumberFormat="1" applyFont="1" applyFill="1"/>
    <xf numFmtId="43" fontId="3" fillId="0" borderId="0" xfId="0" applyNumberFormat="1" applyFont="1" applyFill="1"/>
    <xf numFmtId="16" fontId="3" fillId="3" borderId="0" xfId="0" quotePrefix="1" applyNumberFormat="1" applyFont="1" applyFill="1" applyAlignment="1">
      <alignment horizontal="center"/>
    </xf>
    <xf numFmtId="43" fontId="7" fillId="0" borderId="0" xfId="0" applyNumberFormat="1" applyFont="1" applyAlignment="1">
      <alignment horizontal="center"/>
    </xf>
    <xf numFmtId="43" fontId="5" fillId="0" borderId="0" xfId="1" applyFont="1"/>
    <xf numFmtId="0" fontId="4" fillId="0" borderId="0" xfId="0" applyFont="1" applyBorder="1"/>
    <xf numFmtId="43" fontId="4" fillId="0" borderId="0" xfId="0" applyNumberFormat="1" applyFont="1" applyBorder="1"/>
    <xf numFmtId="0" fontId="7" fillId="0" borderId="0" xfId="0" applyFont="1" applyFill="1"/>
    <xf numFmtId="43" fontId="2" fillId="0" borderId="0" xfId="1" applyFont="1" applyFill="1"/>
    <xf numFmtId="43" fontId="2" fillId="5" borderId="0" xfId="1" applyFont="1" applyFill="1"/>
    <xf numFmtId="43" fontId="2" fillId="5" borderId="1" xfId="1" applyFont="1" applyFill="1" applyBorder="1"/>
    <xf numFmtId="43" fontId="2" fillId="5" borderId="2" xfId="1" applyFont="1" applyFill="1" applyBorder="1"/>
    <xf numFmtId="0" fontId="2" fillId="5" borderId="0" xfId="0" applyFont="1" applyFill="1"/>
    <xf numFmtId="43" fontId="2" fillId="5" borderId="2" xfId="0" applyNumberFormat="1" applyFont="1" applyFill="1" applyBorder="1"/>
    <xf numFmtId="43" fontId="2" fillId="5" borderId="0" xfId="1" applyFont="1" applyFill="1" applyBorder="1"/>
    <xf numFmtId="0" fontId="7" fillId="4" borderId="0" xfId="0" applyFont="1" applyFill="1"/>
    <xf numFmtId="43" fontId="2" fillId="0" borderId="0" xfId="0" applyNumberFormat="1" applyFont="1" applyBorder="1"/>
    <xf numFmtId="43" fontId="2" fillId="2" borderId="2" xfId="0" applyNumberFormat="1" applyFont="1" applyFill="1" applyBorder="1"/>
    <xf numFmtId="43" fontId="2" fillId="0" borderId="1" xfId="1" applyFont="1" applyFill="1" applyBorder="1"/>
    <xf numFmtId="43" fontId="2" fillId="0" borderId="2" xfId="1" applyFont="1" applyFill="1" applyBorder="1"/>
    <xf numFmtId="0" fontId="2" fillId="0" borderId="0" xfId="0" applyFont="1" applyFill="1"/>
    <xf numFmtId="43" fontId="2" fillId="0" borderId="2" xfId="0" applyNumberFormat="1" applyFont="1" applyFill="1" applyBorder="1"/>
    <xf numFmtId="43" fontId="2" fillId="0" borderId="0" xfId="0" applyNumberFormat="1" applyFont="1" applyFill="1" applyBorder="1"/>
    <xf numFmtId="43" fontId="2" fillId="0" borderId="0" xfId="1" applyFont="1" applyFill="1" applyBorder="1"/>
    <xf numFmtId="0" fontId="3" fillId="0" borderId="0" xfId="0" applyFont="1" applyFill="1"/>
    <xf numFmtId="43" fontId="2" fillId="2" borderId="0" xfId="0" applyNumberFormat="1" applyFont="1" applyFill="1"/>
    <xf numFmtId="43" fontId="8" fillId="0" borderId="0" xfId="1" applyFont="1" applyFill="1"/>
    <xf numFmtId="43" fontId="8" fillId="0" borderId="1" xfId="1" applyFont="1" applyFill="1" applyBorder="1"/>
    <xf numFmtId="43" fontId="2" fillId="2" borderId="2" xfId="1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7" fillId="6" borderId="0" xfId="0" applyFont="1" applyFill="1"/>
    <xf numFmtId="0" fontId="3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7" fillId="6" borderId="0" xfId="0" applyFont="1" applyFill="1" applyBorder="1"/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7" fillId="7" borderId="0" xfId="0" applyFont="1" applyFill="1"/>
    <xf numFmtId="0" fontId="3" fillId="8" borderId="0" xfId="0" applyFont="1" applyFill="1"/>
    <xf numFmtId="0" fontId="3" fillId="8" borderId="0" xfId="0" applyFont="1" applyFill="1" applyAlignment="1">
      <alignment horizontal="center"/>
    </xf>
    <xf numFmtId="0" fontId="7" fillId="8" borderId="0" xfId="0" applyFont="1" applyFill="1"/>
    <xf numFmtId="0" fontId="3" fillId="2" borderId="0" xfId="0" applyFont="1" applyFill="1"/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7" fillId="0" borderId="0" xfId="1" applyFont="1" applyFill="1"/>
    <xf numFmtId="43" fontId="2" fillId="0" borderId="1" xfId="0" applyNumberFormat="1" applyFont="1" applyFill="1" applyBorder="1"/>
    <xf numFmtId="0" fontId="6" fillId="0" borderId="0" xfId="0" applyFont="1" applyFill="1"/>
    <xf numFmtId="43" fontId="2" fillId="6" borderId="0" xfId="0" applyNumberFormat="1" applyFont="1" applyFill="1"/>
    <xf numFmtId="43" fontId="2" fillId="7" borderId="2" xfId="0" applyNumberFormat="1" applyFont="1" applyFill="1" applyBorder="1"/>
    <xf numFmtId="0" fontId="3" fillId="2" borderId="0" xfId="0" applyFont="1" applyFill="1" applyAlignment="1">
      <alignment horizontal="center"/>
    </xf>
    <xf numFmtId="43" fontId="2" fillId="8" borderId="2" xfId="0" applyNumberFormat="1" applyFont="1" applyFill="1" applyBorder="1"/>
    <xf numFmtId="43" fontId="2" fillId="8" borderId="1" xfId="0" applyNumberFormat="1" applyFont="1" applyFill="1" applyBorder="1"/>
    <xf numFmtId="0" fontId="7" fillId="10" borderId="0" xfId="0" applyFont="1" applyFill="1"/>
    <xf numFmtId="0" fontId="3" fillId="10" borderId="0" xfId="0" applyFont="1" applyFill="1"/>
    <xf numFmtId="0" fontId="3" fillId="10" borderId="0" xfId="0" applyFont="1" applyFill="1" applyAlignment="1">
      <alignment horizontal="center"/>
    </xf>
    <xf numFmtId="43" fontId="2" fillId="10" borderId="1" xfId="0" applyNumberFormat="1" applyFont="1" applyFill="1" applyBorder="1"/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2" fillId="9" borderId="0" xfId="0" applyFont="1" applyFill="1"/>
    <xf numFmtId="43" fontId="3" fillId="0" borderId="0" xfId="1" applyFont="1" applyFill="1"/>
    <xf numFmtId="43" fontId="2" fillId="6" borderId="2" xfId="0" applyNumberFormat="1" applyFont="1" applyFill="1" applyBorder="1"/>
    <xf numFmtId="43" fontId="7" fillId="5" borderId="0" xfId="1" applyFont="1" applyFill="1"/>
    <xf numFmtId="0" fontId="2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43" fontId="7" fillId="0" borderId="2" xfId="1" applyFont="1" applyFill="1" applyBorder="1"/>
    <xf numFmtId="43" fontId="7" fillId="0" borderId="1" xfId="1" applyFont="1" applyFill="1" applyBorder="1"/>
    <xf numFmtId="43" fontId="2" fillId="6" borderId="1" xfId="1" applyFont="1" applyFill="1" applyBorder="1"/>
    <xf numFmtId="0" fontId="0" fillId="0" borderId="0" xfId="0" applyFill="1"/>
    <xf numFmtId="0" fontId="9" fillId="0" borderId="0" xfId="0" applyFont="1"/>
    <xf numFmtId="43" fontId="7" fillId="0" borderId="2" xfId="0" applyNumberFormat="1" applyFont="1" applyFill="1" applyBorder="1"/>
    <xf numFmtId="43" fontId="2" fillId="9" borderId="2" xfId="1" applyFont="1" applyFill="1" applyBorder="1"/>
    <xf numFmtId="0" fontId="3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43" fontId="2" fillId="0" borderId="5" xfId="1" applyFont="1" applyFill="1" applyBorder="1"/>
    <xf numFmtId="43" fontId="2" fillId="0" borderId="6" xfId="1" applyFont="1" applyFill="1" applyBorder="1"/>
    <xf numFmtId="0" fontId="2" fillId="7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3" fontId="7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44" fontId="4" fillId="0" borderId="0" xfId="2" applyFont="1"/>
    <xf numFmtId="44" fontId="4" fillId="0" borderId="1" xfId="2" applyFont="1" applyBorder="1"/>
    <xf numFmtId="43" fontId="4" fillId="0" borderId="7" xfId="1" applyFont="1" applyBorder="1"/>
    <xf numFmtId="43" fontId="10" fillId="0" borderId="0" xfId="0" applyNumberFormat="1" applyFont="1" applyFill="1"/>
    <xf numFmtId="0" fontId="7" fillId="11" borderId="0" xfId="0" applyFont="1" applyFill="1"/>
    <xf numFmtId="43" fontId="10" fillId="0" borderId="2" xfId="1" applyFont="1" applyFill="1" applyBorder="1"/>
    <xf numFmtId="0" fontId="10" fillId="0" borderId="0" xfId="0" applyFont="1" applyAlignment="1">
      <alignment horizontal="center"/>
    </xf>
    <xf numFmtId="43" fontId="2" fillId="7" borderId="0" xfId="0" applyNumberFormat="1" applyFont="1" applyFill="1"/>
    <xf numFmtId="43" fontId="2" fillId="7" borderId="2" xfId="1" applyFont="1" applyFill="1" applyBorder="1"/>
    <xf numFmtId="43" fontId="2" fillId="7" borderId="0" xfId="1" applyFont="1" applyFill="1"/>
    <xf numFmtId="0" fontId="3" fillId="12" borderId="0" xfId="0" applyFont="1" applyFill="1"/>
    <xf numFmtId="0" fontId="3" fillId="12" borderId="0" xfId="0" applyFont="1" applyFill="1" applyAlignment="1">
      <alignment horizontal="center"/>
    </xf>
    <xf numFmtId="0" fontId="7" fillId="12" borderId="0" xfId="0" applyFont="1" applyFill="1"/>
    <xf numFmtId="0" fontId="3" fillId="13" borderId="0" xfId="0" applyFont="1" applyFill="1"/>
    <xf numFmtId="0" fontId="3" fillId="13" borderId="0" xfId="0" applyFont="1" applyFill="1" applyAlignment="1">
      <alignment horizontal="center"/>
    </xf>
    <xf numFmtId="0" fontId="7" fillId="13" borderId="0" xfId="0" applyFont="1" applyFill="1"/>
    <xf numFmtId="43" fontId="2" fillId="13" borderId="1" xfId="0" applyNumberFormat="1" applyFont="1" applyFill="1" applyBorder="1"/>
    <xf numFmtId="43" fontId="2" fillId="13" borderId="0" xfId="0" applyNumberFormat="1" applyFont="1" applyFill="1"/>
    <xf numFmtId="43" fontId="2" fillId="13" borderId="2" xfId="1" applyFont="1" applyFill="1" applyBorder="1"/>
    <xf numFmtId="43" fontId="2" fillId="12" borderId="2" xfId="0" applyNumberFormat="1" applyFont="1" applyFill="1" applyBorder="1"/>
    <xf numFmtId="0" fontId="3" fillId="14" borderId="0" xfId="0" applyFont="1" applyFill="1"/>
    <xf numFmtId="0" fontId="3" fillId="14" borderId="0" xfId="0" applyFont="1" applyFill="1" applyAlignment="1">
      <alignment horizontal="center"/>
    </xf>
    <xf numFmtId="0" fontId="7" fillId="14" borderId="0" xfId="0" applyFont="1" applyFill="1"/>
    <xf numFmtId="43" fontId="2" fillId="14" borderId="1" xfId="0" applyNumberFormat="1" applyFont="1" applyFill="1" applyBorder="1"/>
    <xf numFmtId="43" fontId="7" fillId="14" borderId="2" xfId="0" applyNumberFormat="1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43" fontId="2" fillId="4" borderId="2" xfId="0" applyNumberFormat="1" applyFont="1" applyFill="1" applyBorder="1"/>
    <xf numFmtId="43" fontId="2" fillId="4" borderId="1" xfId="0" applyNumberFormat="1" applyFont="1" applyFill="1" applyBorder="1"/>
    <xf numFmtId="0" fontId="6" fillId="14" borderId="0" xfId="0" applyFont="1" applyFill="1"/>
    <xf numFmtId="0" fontId="6" fillId="14" borderId="0" xfId="0" applyFont="1" applyFill="1" applyAlignment="1">
      <alignment horizontal="center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43" fontId="2" fillId="11" borderId="2" xfId="0" applyNumberFormat="1" applyFont="1" applyFill="1" applyBorder="1"/>
    <xf numFmtId="43" fontId="2" fillId="11" borderId="1" xfId="0" applyNumberFormat="1" applyFont="1" applyFill="1" applyBorder="1"/>
    <xf numFmtId="43" fontId="2" fillId="10" borderId="2" xfId="0" applyNumberFormat="1" applyFont="1" applyFill="1" applyBorder="1"/>
    <xf numFmtId="0" fontId="7" fillId="2" borderId="0" xfId="0" applyFont="1" applyFill="1" applyAlignment="1">
      <alignment horizontal="left"/>
    </xf>
    <xf numFmtId="43" fontId="2" fillId="2" borderId="1" xfId="1" applyFont="1" applyFill="1" applyBorder="1"/>
    <xf numFmtId="0" fontId="2" fillId="2" borderId="2" xfId="0" applyFont="1" applyFill="1" applyBorder="1"/>
    <xf numFmtId="43" fontId="2" fillId="7" borderId="1" xfId="1" applyFont="1" applyFill="1" applyBorder="1"/>
    <xf numFmtId="43" fontId="2" fillId="7" borderId="6" xfId="1" applyFont="1" applyFill="1" applyBorder="1"/>
    <xf numFmtId="43" fontId="2" fillId="5" borderId="6" xfId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pane xSplit="5" ySplit="5" topLeftCell="F30" activePane="bottomRight" state="frozen"/>
      <selection pane="topRight" activeCell="F1" sqref="F1"/>
      <selection pane="bottomLeft" activeCell="A6" sqref="A6"/>
      <selection pane="bottomRight" activeCell="G51" sqref="G51"/>
    </sheetView>
  </sheetViews>
  <sheetFormatPr defaultColWidth="9" defaultRowHeight="13.2" x14ac:dyDescent="0.25"/>
  <cols>
    <col min="1" max="1" width="2.59765625" style="12" customWidth="1"/>
    <col min="2" max="2" width="2.5" style="12" customWidth="1"/>
    <col min="3" max="3" width="21.59765625" style="12" customWidth="1"/>
    <col min="4" max="4" width="12.59765625" style="12" customWidth="1"/>
    <col min="5" max="5" width="3.3984375" style="12" customWidth="1"/>
    <col min="6" max="10" width="11.59765625" style="12" customWidth="1"/>
    <col min="11" max="11" width="12.8984375" style="12" customWidth="1"/>
    <col min="12" max="16384" width="9" style="12"/>
  </cols>
  <sheetData>
    <row r="1" spans="1:11" x14ac:dyDescent="0.25">
      <c r="A1" s="12" t="s">
        <v>130</v>
      </c>
    </row>
    <row r="2" spans="1:11" x14ac:dyDescent="0.25">
      <c r="A2" s="12" t="s">
        <v>131</v>
      </c>
    </row>
    <row r="3" spans="1:11" x14ac:dyDescent="0.25">
      <c r="F3" s="14" t="s">
        <v>165</v>
      </c>
      <c r="G3" s="14" t="s">
        <v>279</v>
      </c>
      <c r="H3" s="14" t="s">
        <v>161</v>
      </c>
      <c r="I3" s="14" t="s">
        <v>163</v>
      </c>
      <c r="J3" s="14"/>
    </row>
    <row r="4" spans="1:11" x14ac:dyDescent="0.25">
      <c r="D4" s="14" t="s">
        <v>109</v>
      </c>
      <c r="F4" s="14" t="s">
        <v>166</v>
      </c>
      <c r="G4" s="14" t="s">
        <v>280</v>
      </c>
      <c r="H4" s="14" t="s">
        <v>162</v>
      </c>
      <c r="I4" s="14" t="s">
        <v>164</v>
      </c>
      <c r="J4" s="14" t="s">
        <v>140</v>
      </c>
    </row>
    <row r="5" spans="1:11" x14ac:dyDescent="0.25">
      <c r="A5" s="12" t="s">
        <v>132</v>
      </c>
    </row>
    <row r="6" spans="1:11" x14ac:dyDescent="0.25">
      <c r="A6" s="12" t="s">
        <v>133</v>
      </c>
    </row>
    <row r="7" spans="1:11" x14ac:dyDescent="0.25">
      <c r="B7" s="12" t="s">
        <v>134</v>
      </c>
      <c r="D7" s="15">
        <v>5203.47</v>
      </c>
      <c r="F7" s="15">
        <v>5203.47</v>
      </c>
      <c r="G7" s="15">
        <v>0</v>
      </c>
      <c r="H7" s="15">
        <v>0</v>
      </c>
      <c r="I7" s="15">
        <v>0</v>
      </c>
      <c r="J7" s="15">
        <v>0</v>
      </c>
      <c r="K7" s="13">
        <f>+D7-SUM(F7:J7)</f>
        <v>0</v>
      </c>
    </row>
    <row r="8" spans="1:11" x14ac:dyDescent="0.25">
      <c r="B8" s="12" t="s">
        <v>262</v>
      </c>
      <c r="D8" s="15">
        <v>7349.62</v>
      </c>
      <c r="F8" s="15">
        <v>0</v>
      </c>
      <c r="G8" s="15">
        <v>0</v>
      </c>
      <c r="H8" s="15">
        <v>0</v>
      </c>
      <c r="I8" s="15">
        <v>0</v>
      </c>
      <c r="J8" s="15">
        <v>7349.62</v>
      </c>
      <c r="K8" s="13">
        <f>+D8-SUM(F8:J8)</f>
        <v>0</v>
      </c>
    </row>
    <row r="9" spans="1:11" s="29" customFormat="1" x14ac:dyDescent="0.25">
      <c r="B9" s="29" t="s">
        <v>135</v>
      </c>
      <c r="D9" s="18">
        <v>150436.45000000001</v>
      </c>
      <c r="F9" s="18">
        <v>119152.57</v>
      </c>
      <c r="G9" s="18">
        <v>25259.38</v>
      </c>
      <c r="H9" s="18">
        <v>221.42</v>
      </c>
      <c r="I9" s="18">
        <v>4920.95</v>
      </c>
      <c r="J9" s="18">
        <v>882.13</v>
      </c>
      <c r="K9" s="30">
        <f>+D9-SUM(F9:J9)</f>
        <v>0</v>
      </c>
    </row>
    <row r="10" spans="1:11" x14ac:dyDescent="0.25">
      <c r="B10" s="12" t="s">
        <v>184</v>
      </c>
      <c r="D10" s="16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3">
        <f>+D10-SUM(F10:J10)</f>
        <v>0</v>
      </c>
    </row>
    <row r="11" spans="1:11" x14ac:dyDescent="0.25">
      <c r="C11" s="12" t="s">
        <v>158</v>
      </c>
      <c r="D11" s="17">
        <f>SUM(D7:D10)</f>
        <v>162989.54</v>
      </c>
      <c r="F11" s="17">
        <f t="shared" ref="F11:J11" si="0">SUM(F7:F10)</f>
        <v>124356.04000000001</v>
      </c>
      <c r="G11" s="17">
        <f t="shared" si="0"/>
        <v>25259.38</v>
      </c>
      <c r="H11" s="17">
        <f t="shared" si="0"/>
        <v>221.42</v>
      </c>
      <c r="I11" s="17">
        <f t="shared" si="0"/>
        <v>4920.95</v>
      </c>
      <c r="J11" s="17">
        <f t="shared" si="0"/>
        <v>8231.75</v>
      </c>
    </row>
    <row r="12" spans="1:11" ht="6.75" customHeight="1" x14ac:dyDescent="0.25">
      <c r="D12" s="18"/>
    </row>
    <row r="13" spans="1:11" x14ac:dyDescent="0.25">
      <c r="A13" s="12" t="s">
        <v>136</v>
      </c>
      <c r="D13" s="15"/>
    </row>
    <row r="14" spans="1:11" x14ac:dyDescent="0.25">
      <c r="B14" s="12" t="s">
        <v>139</v>
      </c>
      <c r="D14" s="15">
        <v>40888.639999999999</v>
      </c>
      <c r="F14" s="15"/>
      <c r="G14" s="15"/>
      <c r="H14" s="15"/>
      <c r="I14" s="15"/>
      <c r="J14" s="15">
        <v>40888.639999999999</v>
      </c>
      <c r="K14" s="13">
        <f>+D14-SUM(F14:J14)</f>
        <v>0</v>
      </c>
    </row>
    <row r="15" spans="1:11" x14ac:dyDescent="0.25">
      <c r="B15" s="12" t="s">
        <v>140</v>
      </c>
      <c r="D15" s="15">
        <v>292481.3</v>
      </c>
      <c r="F15" s="15"/>
      <c r="G15" s="15"/>
      <c r="H15" s="15"/>
      <c r="I15" s="15"/>
      <c r="J15" s="15">
        <v>292481.3</v>
      </c>
      <c r="K15" s="13">
        <f>+D15-SUM(F15:J15)</f>
        <v>0</v>
      </c>
    </row>
    <row r="16" spans="1:11" x14ac:dyDescent="0.25">
      <c r="B16" s="12" t="s">
        <v>137</v>
      </c>
      <c r="D16" s="15">
        <v>40459.230000000003</v>
      </c>
      <c r="F16" s="15">
        <v>40459.230000000003</v>
      </c>
      <c r="G16" s="15"/>
      <c r="H16" s="15"/>
      <c r="I16" s="15"/>
      <c r="J16" s="15"/>
      <c r="K16" s="13">
        <f>+D16-SUM(F16:J16)</f>
        <v>0</v>
      </c>
    </row>
    <row r="17" spans="1:11" x14ac:dyDescent="0.25">
      <c r="B17" s="12" t="s">
        <v>138</v>
      </c>
      <c r="D17" s="15">
        <v>-102232.01</v>
      </c>
      <c r="F17" s="15"/>
      <c r="G17" s="15"/>
      <c r="H17" s="15"/>
      <c r="I17" s="15"/>
      <c r="J17" s="15">
        <v>-102232.01</v>
      </c>
      <c r="K17" s="13">
        <f>+D17-SUM(F17:J17)</f>
        <v>0</v>
      </c>
    </row>
    <row r="18" spans="1:11" x14ac:dyDescent="0.25">
      <c r="B18" s="12" t="s">
        <v>138</v>
      </c>
      <c r="D18" s="16">
        <v>-39664.29</v>
      </c>
      <c r="F18" s="15">
        <v>-39664.29</v>
      </c>
      <c r="G18" s="15"/>
      <c r="H18" s="15"/>
      <c r="I18" s="15"/>
      <c r="J18" s="15"/>
      <c r="K18" s="13">
        <f>+D18-SUM(F18:J18)</f>
        <v>0</v>
      </c>
    </row>
    <row r="19" spans="1:11" x14ac:dyDescent="0.25">
      <c r="C19" s="12" t="s">
        <v>157</v>
      </c>
      <c r="D19" s="17">
        <f>SUM(D14:D18)</f>
        <v>231932.86999999997</v>
      </c>
      <c r="F19" s="17">
        <f t="shared" ref="F19:J19" si="1">SUM(F14:F18)</f>
        <v>794.94000000000233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231137.93</v>
      </c>
    </row>
    <row r="20" spans="1:11" ht="6.75" customHeight="1" x14ac:dyDescent="0.25">
      <c r="D20" s="15"/>
      <c r="F20" s="15"/>
      <c r="G20" s="15"/>
      <c r="H20" s="15"/>
      <c r="I20" s="15"/>
      <c r="J20" s="15"/>
    </row>
    <row r="21" spans="1:11" ht="13.8" thickBot="1" x14ac:dyDescent="0.3">
      <c r="A21" s="12" t="s">
        <v>141</v>
      </c>
      <c r="D21" s="19">
        <f>+D11+D19</f>
        <v>394922.41</v>
      </c>
      <c r="F21" s="19">
        <f t="shared" ref="F21:J21" si="2">+F11+F19</f>
        <v>125150.98000000001</v>
      </c>
      <c r="G21" s="19">
        <f t="shared" si="2"/>
        <v>25259.38</v>
      </c>
      <c r="H21" s="19">
        <f t="shared" si="2"/>
        <v>221.42</v>
      </c>
      <c r="I21" s="19">
        <f t="shared" si="2"/>
        <v>4920.95</v>
      </c>
      <c r="J21" s="19">
        <f t="shared" si="2"/>
        <v>239369.68</v>
      </c>
    </row>
    <row r="22" spans="1:11" ht="13.8" thickTop="1" x14ac:dyDescent="0.25">
      <c r="D22" s="15"/>
    </row>
    <row r="23" spans="1:11" x14ac:dyDescent="0.25">
      <c r="A23" s="12" t="s">
        <v>142</v>
      </c>
      <c r="D23" s="15"/>
    </row>
    <row r="24" spans="1:11" x14ac:dyDescent="0.25">
      <c r="A24" s="12" t="s">
        <v>143</v>
      </c>
      <c r="D24" s="15"/>
    </row>
    <row r="25" spans="1:11" x14ac:dyDescent="0.25">
      <c r="B25" s="12" t="s">
        <v>144</v>
      </c>
      <c r="D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3">
        <f t="shared" ref="K25:K31" si="3">+D25-SUM(F25:J25)</f>
        <v>0</v>
      </c>
    </row>
    <row r="26" spans="1:11" x14ac:dyDescent="0.25">
      <c r="B26" s="12" t="s">
        <v>192</v>
      </c>
      <c r="D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3">
        <f t="shared" si="3"/>
        <v>0</v>
      </c>
    </row>
    <row r="27" spans="1:11" x14ac:dyDescent="0.25">
      <c r="B27" s="12" t="s">
        <v>145</v>
      </c>
      <c r="D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3">
        <f t="shared" si="3"/>
        <v>0</v>
      </c>
    </row>
    <row r="28" spans="1:11" x14ac:dyDescent="0.25">
      <c r="B28" s="12" t="s">
        <v>146</v>
      </c>
      <c r="D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3">
        <f t="shared" si="3"/>
        <v>0</v>
      </c>
    </row>
    <row r="29" spans="1:11" x14ac:dyDescent="0.25">
      <c r="B29" s="12" t="s">
        <v>147</v>
      </c>
      <c r="D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3">
        <f t="shared" si="3"/>
        <v>0</v>
      </c>
    </row>
    <row r="30" spans="1:11" x14ac:dyDescent="0.25">
      <c r="B30" s="12" t="s">
        <v>148</v>
      </c>
      <c r="D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3">
        <f t="shared" si="3"/>
        <v>0</v>
      </c>
    </row>
    <row r="31" spans="1:11" x14ac:dyDescent="0.25">
      <c r="B31" s="12" t="s">
        <v>149</v>
      </c>
      <c r="D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3">
        <f t="shared" si="3"/>
        <v>0</v>
      </c>
    </row>
    <row r="32" spans="1:11" x14ac:dyDescent="0.25">
      <c r="C32" s="12" t="s">
        <v>156</v>
      </c>
      <c r="D32" s="20">
        <f>SUM(D25:D31)</f>
        <v>0</v>
      </c>
      <c r="F32" s="20">
        <f t="shared" ref="F32:J32" si="4">SUM(F25:F31)</f>
        <v>0</v>
      </c>
      <c r="G32" s="20">
        <f t="shared" si="4"/>
        <v>0</v>
      </c>
      <c r="H32" s="20">
        <f t="shared" si="4"/>
        <v>0</v>
      </c>
      <c r="I32" s="20">
        <f t="shared" si="4"/>
        <v>0</v>
      </c>
      <c r="J32" s="20">
        <f t="shared" si="4"/>
        <v>0</v>
      </c>
    </row>
    <row r="33" spans="1:11" ht="6.75" customHeight="1" x14ac:dyDescent="0.25"/>
    <row r="34" spans="1:11" x14ac:dyDescent="0.25">
      <c r="A34" s="12" t="s">
        <v>150</v>
      </c>
    </row>
    <row r="35" spans="1:11" x14ac:dyDescent="0.25">
      <c r="B35" s="12" t="s">
        <v>151</v>
      </c>
      <c r="D35" s="15">
        <v>50391.74</v>
      </c>
      <c r="F35" s="28">
        <v>50391.74</v>
      </c>
      <c r="G35" s="15">
        <v>0</v>
      </c>
      <c r="H35" s="15">
        <v>0</v>
      </c>
      <c r="I35" s="15">
        <v>0</v>
      </c>
      <c r="J35" s="15">
        <v>0</v>
      </c>
      <c r="K35" s="13">
        <f t="shared" ref="K35:K41" si="5">+D35-SUM(F35:J35)</f>
        <v>0</v>
      </c>
    </row>
    <row r="36" spans="1:11" x14ac:dyDescent="0.25">
      <c r="B36" s="12" t="s">
        <v>152</v>
      </c>
      <c r="D36" s="15">
        <v>9473.6299999999992</v>
      </c>
      <c r="F36" s="15">
        <v>0</v>
      </c>
      <c r="G36" s="28">
        <v>9473.6299999999992</v>
      </c>
      <c r="H36" s="15">
        <v>0</v>
      </c>
      <c r="I36" s="15">
        <v>0</v>
      </c>
      <c r="J36" s="15">
        <v>0</v>
      </c>
      <c r="K36" s="13">
        <f t="shared" si="5"/>
        <v>0</v>
      </c>
    </row>
    <row r="37" spans="1:11" x14ac:dyDescent="0.25">
      <c r="B37" s="12" t="s">
        <v>153</v>
      </c>
      <c r="D37" s="15">
        <v>221.42</v>
      </c>
      <c r="F37" s="15">
        <v>0</v>
      </c>
      <c r="G37" s="15">
        <v>0</v>
      </c>
      <c r="H37" s="28">
        <v>221.42</v>
      </c>
      <c r="I37" s="15">
        <v>0</v>
      </c>
      <c r="J37" s="15">
        <v>0</v>
      </c>
      <c r="K37" s="13">
        <f t="shared" si="5"/>
        <v>0</v>
      </c>
    </row>
    <row r="38" spans="1:11" x14ac:dyDescent="0.25">
      <c r="B38" s="12" t="s">
        <v>154</v>
      </c>
      <c r="D38" s="15">
        <v>4350.95</v>
      </c>
      <c r="F38" s="15">
        <v>0</v>
      </c>
      <c r="G38" s="15">
        <v>0</v>
      </c>
      <c r="H38" s="15">
        <v>0</v>
      </c>
      <c r="I38" s="28">
        <v>4350.95</v>
      </c>
      <c r="J38" s="15">
        <v>0</v>
      </c>
      <c r="K38" s="13">
        <f t="shared" si="5"/>
        <v>0</v>
      </c>
    </row>
    <row r="39" spans="1:11" x14ac:dyDescent="0.25">
      <c r="B39" s="12" t="s">
        <v>140</v>
      </c>
      <c r="D39" s="15">
        <v>231932.87</v>
      </c>
      <c r="F39" s="15">
        <v>0</v>
      </c>
      <c r="G39" s="15">
        <v>0</v>
      </c>
      <c r="H39" s="15">
        <v>0</v>
      </c>
      <c r="I39" s="15">
        <v>0</v>
      </c>
      <c r="J39" s="28">
        <v>231932.87</v>
      </c>
      <c r="K39" s="13">
        <f t="shared" si="5"/>
        <v>0</v>
      </c>
    </row>
    <row r="40" spans="1:11" x14ac:dyDescent="0.25">
      <c r="B40" s="12" t="s">
        <v>155</v>
      </c>
      <c r="D40" s="15">
        <v>7436.81</v>
      </c>
      <c r="F40" s="15">
        <v>0</v>
      </c>
      <c r="G40" s="15">
        <v>0</v>
      </c>
      <c r="H40" s="15">
        <v>0</v>
      </c>
      <c r="I40" s="15">
        <v>0</v>
      </c>
      <c r="J40" s="28">
        <v>7436.81</v>
      </c>
      <c r="K40" s="13">
        <f t="shared" si="5"/>
        <v>0</v>
      </c>
    </row>
    <row r="41" spans="1:11" x14ac:dyDescent="0.25">
      <c r="B41" s="12" t="s">
        <v>167</v>
      </c>
      <c r="D41" s="16">
        <v>91114.99</v>
      </c>
      <c r="F41" s="28">
        <v>74759.240000000005</v>
      </c>
      <c r="G41" s="28">
        <f>417.86+14313.75+288.41+765.73</f>
        <v>15785.75</v>
      </c>
      <c r="H41" s="28">
        <v>0</v>
      </c>
      <c r="I41" s="28">
        <v>570</v>
      </c>
      <c r="J41" s="15">
        <v>0</v>
      </c>
      <c r="K41" s="13">
        <f t="shared" si="5"/>
        <v>0</v>
      </c>
    </row>
    <row r="42" spans="1:11" x14ac:dyDescent="0.25">
      <c r="C42" s="12" t="s">
        <v>159</v>
      </c>
      <c r="D42" s="17">
        <f>SUM(D35:D41)</f>
        <v>394922.41</v>
      </c>
      <c r="F42" s="17">
        <f t="shared" ref="F42:K42" si="6">SUM(F35:F41)</f>
        <v>125150.98000000001</v>
      </c>
      <c r="G42" s="17">
        <f t="shared" si="6"/>
        <v>25259.379999999997</v>
      </c>
      <c r="H42" s="17">
        <f t="shared" si="6"/>
        <v>221.42</v>
      </c>
      <c r="I42" s="17">
        <f t="shared" si="6"/>
        <v>4920.95</v>
      </c>
      <c r="J42" s="17">
        <f t="shared" si="6"/>
        <v>239369.68</v>
      </c>
      <c r="K42" s="13">
        <f t="shared" si="6"/>
        <v>0</v>
      </c>
    </row>
    <row r="43" spans="1:11" ht="6" customHeight="1" x14ac:dyDescent="0.25">
      <c r="D43" s="15"/>
      <c r="F43" s="15"/>
      <c r="G43" s="15"/>
      <c r="H43" s="15"/>
      <c r="I43" s="15"/>
      <c r="J43" s="15"/>
      <c r="K43" s="15"/>
    </row>
    <row r="44" spans="1:11" ht="13.8" thickBot="1" x14ac:dyDescent="0.3">
      <c r="A44" s="12" t="s">
        <v>160</v>
      </c>
      <c r="D44" s="19">
        <f>+D32+D42</f>
        <v>394922.41</v>
      </c>
      <c r="F44" s="19">
        <f>+F32+F42</f>
        <v>125150.98000000001</v>
      </c>
      <c r="G44" s="19">
        <f>+G32+G42</f>
        <v>25259.379999999997</v>
      </c>
      <c r="H44" s="19">
        <f>+H32+H42</f>
        <v>221.42</v>
      </c>
      <c r="I44" s="19">
        <f>+I32+I42</f>
        <v>4920.95</v>
      </c>
      <c r="J44" s="19">
        <f>+J32+J42</f>
        <v>239369.68</v>
      </c>
      <c r="K44" s="15"/>
    </row>
    <row r="45" spans="1:11" ht="13.8" thickTop="1" x14ac:dyDescent="0.25">
      <c r="F45" s="15"/>
      <c r="G45" s="15"/>
      <c r="H45" s="15"/>
      <c r="I45" s="15"/>
      <c r="J45" s="15"/>
      <c r="K45" s="15"/>
    </row>
    <row r="46" spans="1:11" x14ac:dyDescent="0.25">
      <c r="D46" s="13">
        <f>+D21-D44</f>
        <v>0</v>
      </c>
      <c r="F46" s="13">
        <f>+F21-F44</f>
        <v>0</v>
      </c>
      <c r="G46" s="13">
        <f>+G21-G44</f>
        <v>0</v>
      </c>
      <c r="H46" s="13">
        <f>+H21-H44</f>
        <v>0</v>
      </c>
      <c r="I46" s="13">
        <f>+I21-I44</f>
        <v>0</v>
      </c>
      <c r="J46" s="13">
        <f>+J21-J44</f>
        <v>0</v>
      </c>
    </row>
    <row r="47" spans="1:11" x14ac:dyDescent="0.25">
      <c r="A47" s="12" t="s">
        <v>281</v>
      </c>
    </row>
    <row r="48" spans="1:11" x14ac:dyDescent="0.25">
      <c r="B48" s="12" t="s">
        <v>278</v>
      </c>
      <c r="G48" s="110">
        <f>9473.63+417.86</f>
        <v>9891.49</v>
      </c>
    </row>
    <row r="49" spans="2:7" x14ac:dyDescent="0.25">
      <c r="B49" s="12" t="s">
        <v>282</v>
      </c>
      <c r="G49" s="110">
        <v>14313.75</v>
      </c>
    </row>
    <row r="50" spans="2:7" x14ac:dyDescent="0.25">
      <c r="B50" s="12" t="s">
        <v>283</v>
      </c>
      <c r="G50" s="110">
        <v>288.41000000000003</v>
      </c>
    </row>
    <row r="51" spans="2:7" x14ac:dyDescent="0.25">
      <c r="B51" s="12" t="s">
        <v>284</v>
      </c>
      <c r="G51" s="111">
        <v>765.73</v>
      </c>
    </row>
    <row r="52" spans="2:7" ht="13.8" thickBot="1" x14ac:dyDescent="0.3">
      <c r="G52" s="112">
        <f>SUM(G48:G51)</f>
        <v>25259.379999999997</v>
      </c>
    </row>
    <row r="53" spans="2:7" ht="13.8" thickTop="1" x14ac:dyDescent="0.25">
      <c r="G53" s="15"/>
    </row>
  </sheetData>
  <printOptions horizontalCentered="1"/>
  <pageMargins left="0" right="0" top="0.5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8"/>
  <sheetViews>
    <sheetView tabSelected="1" zoomScaleNormal="100" workbookViewId="0">
      <pane xSplit="6" ySplit="6" topLeftCell="R199" activePane="bottomRight" state="frozen"/>
      <selection pane="topRight" activeCell="G1" sqref="G1"/>
      <selection pane="bottomLeft" activeCell="A7" sqref="A7"/>
      <selection pane="bottomRight" activeCell="F221" sqref="F221"/>
    </sheetView>
  </sheetViews>
  <sheetFormatPr defaultColWidth="9" defaultRowHeight="13.8" x14ac:dyDescent="0.25"/>
  <cols>
    <col min="1" max="1" width="4.59765625" style="1" customWidth="1"/>
    <col min="2" max="2" width="4.59765625" style="5" customWidth="1"/>
    <col min="3" max="3" width="30.09765625" style="21" customWidth="1"/>
    <col min="4" max="6" width="10.69921875" style="1" customWidth="1"/>
    <col min="7" max="11" width="10.59765625" style="1" hidden="1" customWidth="1"/>
    <col min="12" max="14" width="10.59765625" style="48" hidden="1" customWidth="1"/>
    <col min="15" max="16" width="10.59765625" style="1" hidden="1" customWidth="1"/>
    <col min="17" max="17" width="10.59765625" style="48" hidden="1" customWidth="1"/>
    <col min="18" max="18" width="10.59765625" style="1" customWidth="1"/>
    <col min="19" max="19" width="10.09765625" hidden="1" customWidth="1"/>
    <col min="20" max="20" width="9" style="1" hidden="1" customWidth="1"/>
    <col min="21" max="35" width="9" style="1" customWidth="1"/>
    <col min="36" max="16384" width="9" style="1"/>
  </cols>
  <sheetData>
    <row r="1" spans="1:18" x14ac:dyDescent="0.25">
      <c r="A1" s="108" t="s">
        <v>81</v>
      </c>
      <c r="B1" s="108"/>
      <c r="C1" s="108"/>
      <c r="D1" s="108"/>
      <c r="E1" s="108"/>
      <c r="F1" s="108"/>
      <c r="G1" s="90"/>
      <c r="H1" s="90"/>
      <c r="I1" s="90"/>
      <c r="J1" s="90"/>
      <c r="K1" s="90"/>
      <c r="L1" s="68"/>
      <c r="M1" s="68"/>
      <c r="N1" s="68"/>
      <c r="O1" s="90"/>
      <c r="P1" s="90"/>
      <c r="Q1" s="68"/>
      <c r="R1" s="90"/>
    </row>
    <row r="2" spans="1:18" x14ac:dyDescent="0.25">
      <c r="A2" s="108" t="s">
        <v>82</v>
      </c>
      <c r="B2" s="108"/>
      <c r="C2" s="108"/>
      <c r="D2" s="108"/>
      <c r="E2" s="108"/>
      <c r="F2" s="108"/>
      <c r="G2" s="90"/>
      <c r="H2" s="90"/>
      <c r="I2" s="90"/>
      <c r="J2" s="90"/>
      <c r="K2" s="90"/>
      <c r="L2" s="68"/>
      <c r="M2" s="68"/>
      <c r="N2" s="68"/>
      <c r="O2" s="90"/>
      <c r="P2" s="90"/>
      <c r="Q2" s="68"/>
      <c r="R2" s="90"/>
    </row>
    <row r="3" spans="1:18" x14ac:dyDescent="0.25">
      <c r="A3" s="109" t="s">
        <v>209</v>
      </c>
      <c r="B3" s="109"/>
      <c r="C3" s="109"/>
      <c r="D3" s="109"/>
      <c r="E3" s="109"/>
      <c r="F3" s="109"/>
      <c r="G3" s="91"/>
      <c r="H3" s="91"/>
      <c r="I3" s="91"/>
      <c r="J3" s="91"/>
      <c r="K3" s="91"/>
      <c r="L3" s="87"/>
      <c r="M3" s="87"/>
      <c r="N3" s="87"/>
      <c r="O3" s="91"/>
      <c r="P3" s="91"/>
      <c r="Q3" s="87"/>
      <c r="R3" s="91"/>
    </row>
    <row r="4" spans="1:18" x14ac:dyDescent="0.25">
      <c r="D4" s="90" t="s">
        <v>197</v>
      </c>
      <c r="E4" s="67" t="s">
        <v>197</v>
      </c>
      <c r="F4" s="116" t="s">
        <v>197</v>
      </c>
      <c r="H4" s="90"/>
      <c r="I4" s="90"/>
      <c r="J4" s="90"/>
      <c r="K4" s="90"/>
      <c r="L4" s="68"/>
      <c r="M4" s="68"/>
      <c r="N4" s="68"/>
      <c r="O4" s="90"/>
      <c r="P4" s="90"/>
      <c r="Q4" s="68"/>
      <c r="R4" s="116" t="s">
        <v>286</v>
      </c>
    </row>
    <row r="5" spans="1:18" x14ac:dyDescent="0.25">
      <c r="D5" s="90" t="s">
        <v>171</v>
      </c>
      <c r="E5" s="67" t="s">
        <v>5</v>
      </c>
      <c r="F5" s="116" t="s">
        <v>185</v>
      </c>
      <c r="G5" s="90">
        <v>2016</v>
      </c>
      <c r="H5" s="90">
        <v>2016</v>
      </c>
      <c r="I5" s="90">
        <v>2016</v>
      </c>
      <c r="J5" s="90">
        <v>2017</v>
      </c>
      <c r="K5" s="90">
        <v>2017</v>
      </c>
      <c r="L5" s="68">
        <v>2017</v>
      </c>
      <c r="M5" s="68">
        <v>2017</v>
      </c>
      <c r="N5" s="68">
        <v>2017</v>
      </c>
      <c r="O5" s="90">
        <v>2017</v>
      </c>
      <c r="P5" s="90">
        <v>2017</v>
      </c>
      <c r="Q5" s="68">
        <v>2017</v>
      </c>
      <c r="R5" s="116" t="s">
        <v>287</v>
      </c>
    </row>
    <row r="6" spans="1:18" x14ac:dyDescent="0.25">
      <c r="D6" s="90" t="s">
        <v>109</v>
      </c>
      <c r="E6" s="68" t="s">
        <v>109</v>
      </c>
      <c r="F6" s="116" t="s">
        <v>109</v>
      </c>
      <c r="G6" s="2" t="s">
        <v>84</v>
      </c>
      <c r="H6" s="90" t="s">
        <v>85</v>
      </c>
      <c r="I6" s="90" t="s">
        <v>86</v>
      </c>
      <c r="J6" s="90" t="s">
        <v>87</v>
      </c>
      <c r="K6" s="90" t="s">
        <v>88</v>
      </c>
      <c r="L6" s="68" t="s">
        <v>89</v>
      </c>
      <c r="M6" s="68" t="s">
        <v>90</v>
      </c>
      <c r="N6" s="68" t="s">
        <v>91</v>
      </c>
      <c r="O6" s="90" t="s">
        <v>92</v>
      </c>
      <c r="P6" s="90" t="s">
        <v>93</v>
      </c>
      <c r="Q6" s="68" t="s">
        <v>94</v>
      </c>
      <c r="R6" s="116" t="s">
        <v>95</v>
      </c>
    </row>
    <row r="7" spans="1:18" x14ac:dyDescent="0.25">
      <c r="C7" s="22" t="s">
        <v>6</v>
      </c>
      <c r="D7" s="3"/>
      <c r="E7" s="31"/>
      <c r="F7" s="3"/>
      <c r="G7" s="4"/>
      <c r="H7" s="5"/>
      <c r="O7" s="48"/>
    </row>
    <row r="8" spans="1:18" x14ac:dyDescent="0.25">
      <c r="A8" s="1">
        <v>511</v>
      </c>
      <c r="C8" s="31" t="s">
        <v>253</v>
      </c>
      <c r="D8" s="49">
        <f>SUM(G8:Q8)</f>
        <v>159760</v>
      </c>
      <c r="E8" s="113">
        <f>4300*38</f>
        <v>163400</v>
      </c>
      <c r="F8" s="117">
        <f>SUM(G8:R8)</f>
        <v>159760</v>
      </c>
      <c r="G8" s="32">
        <v>0</v>
      </c>
      <c r="H8" s="32">
        <v>35910</v>
      </c>
      <c r="I8" s="32">
        <v>79222</v>
      </c>
      <c r="J8" s="32">
        <v>35020</v>
      </c>
      <c r="K8" s="32">
        <v>6423</v>
      </c>
      <c r="L8" s="32">
        <v>2949</v>
      </c>
      <c r="M8" s="32">
        <v>0</v>
      </c>
      <c r="N8" s="32">
        <v>0</v>
      </c>
      <c r="O8" s="32">
        <v>0</v>
      </c>
      <c r="P8" s="32">
        <v>430</v>
      </c>
      <c r="Q8" s="32">
        <v>-194</v>
      </c>
      <c r="R8" s="33">
        <v>0</v>
      </c>
    </row>
    <row r="9" spans="1:18" x14ac:dyDescent="0.25">
      <c r="A9" s="1">
        <v>512</v>
      </c>
      <c r="C9" s="22" t="s">
        <v>198</v>
      </c>
      <c r="D9" s="49">
        <f t="shared" ref="D9:D29" si="0">SUM(G9:Q9)</f>
        <v>13376.17</v>
      </c>
      <c r="E9" s="24">
        <v>13349.17</v>
      </c>
      <c r="F9" s="117">
        <f>SUM(G9:R9)</f>
        <v>13376.17</v>
      </c>
      <c r="G9" s="32">
        <v>13349.17</v>
      </c>
      <c r="H9" s="32">
        <v>0</v>
      </c>
      <c r="I9" s="32">
        <v>0</v>
      </c>
      <c r="J9" s="32">
        <v>27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3">
        <v>0</v>
      </c>
    </row>
    <row r="10" spans="1:18" x14ac:dyDescent="0.25">
      <c r="A10" s="1">
        <v>513</v>
      </c>
      <c r="B10" s="5">
        <v>1</v>
      </c>
      <c r="C10" s="22" t="s">
        <v>186</v>
      </c>
      <c r="D10" s="49">
        <f t="shared" si="0"/>
        <v>770</v>
      </c>
      <c r="E10" s="24">
        <f>160*7</f>
        <v>1120</v>
      </c>
      <c r="F10" s="117">
        <f>SUM(G10:R10)</f>
        <v>770</v>
      </c>
      <c r="G10" s="32">
        <v>0</v>
      </c>
      <c r="H10" s="32">
        <v>460</v>
      </c>
      <c r="I10" s="32">
        <v>0</v>
      </c>
      <c r="J10" s="32">
        <v>0</v>
      </c>
      <c r="K10" s="32">
        <v>310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3">
        <v>0</v>
      </c>
    </row>
    <row r="11" spans="1:18" x14ac:dyDescent="0.25">
      <c r="A11" s="1">
        <v>513</v>
      </c>
      <c r="B11" s="5">
        <v>2</v>
      </c>
      <c r="C11" s="22" t="s">
        <v>220</v>
      </c>
      <c r="D11" s="49">
        <f t="shared" si="0"/>
        <v>600</v>
      </c>
      <c r="E11" s="24">
        <v>0</v>
      </c>
      <c r="F11" s="117">
        <f>SUM(G11:R11)</f>
        <v>600</v>
      </c>
      <c r="G11" s="32">
        <v>0</v>
      </c>
      <c r="H11" s="32">
        <v>0</v>
      </c>
      <c r="I11" s="32"/>
      <c r="J11" s="32">
        <v>480</v>
      </c>
      <c r="K11" s="32">
        <v>30</v>
      </c>
      <c r="L11" s="32">
        <v>90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>
        <v>0</v>
      </c>
    </row>
    <row r="12" spans="1:18" x14ac:dyDescent="0.25">
      <c r="A12" s="1">
        <v>513</v>
      </c>
      <c r="B12" s="5">
        <v>3</v>
      </c>
      <c r="C12" s="22" t="s">
        <v>254</v>
      </c>
      <c r="D12" s="49">
        <f t="shared" si="0"/>
        <v>475</v>
      </c>
      <c r="E12" s="24">
        <v>0</v>
      </c>
      <c r="F12" s="117">
        <f>SUM(G12:R12)</f>
        <v>475</v>
      </c>
      <c r="G12" s="32"/>
      <c r="H12" s="32"/>
      <c r="I12" s="32"/>
      <c r="J12" s="32"/>
      <c r="K12" s="32">
        <v>60</v>
      </c>
      <c r="L12" s="32">
        <v>90</v>
      </c>
      <c r="M12" s="32">
        <v>450</v>
      </c>
      <c r="N12" s="32">
        <v>-125</v>
      </c>
      <c r="O12" s="32">
        <v>0</v>
      </c>
      <c r="P12" s="32">
        <v>0</v>
      </c>
      <c r="Q12" s="32">
        <v>0</v>
      </c>
      <c r="R12" s="33">
        <v>0</v>
      </c>
    </row>
    <row r="13" spans="1:18" x14ac:dyDescent="0.25">
      <c r="A13" s="1">
        <v>513</v>
      </c>
      <c r="B13" s="5">
        <v>5</v>
      </c>
      <c r="C13" s="22" t="s">
        <v>277</v>
      </c>
      <c r="D13" s="49">
        <f t="shared" ref="D13" si="1">SUM(G13:Q13)</f>
        <v>-340</v>
      </c>
      <c r="E13" s="24">
        <v>0</v>
      </c>
      <c r="F13" s="117">
        <f>SUM(G13:R13)</f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>
        <v>-340</v>
      </c>
      <c r="R13" s="33">
        <v>340</v>
      </c>
    </row>
    <row r="14" spans="1:18" x14ac:dyDescent="0.25">
      <c r="A14" s="1">
        <v>513</v>
      </c>
      <c r="B14" s="5">
        <v>6</v>
      </c>
      <c r="C14" s="22" t="s">
        <v>260</v>
      </c>
      <c r="D14" s="49">
        <f t="shared" si="0"/>
        <v>451</v>
      </c>
      <c r="E14" s="24">
        <v>0</v>
      </c>
      <c r="F14" s="117">
        <f>SUM(G14:R14)</f>
        <v>451</v>
      </c>
      <c r="G14" s="32"/>
      <c r="H14" s="32"/>
      <c r="I14" s="32"/>
      <c r="J14" s="32"/>
      <c r="K14" s="32">
        <v>0</v>
      </c>
      <c r="L14" s="32">
        <v>0</v>
      </c>
      <c r="M14" s="32">
        <v>770</v>
      </c>
      <c r="N14" s="32">
        <v>80</v>
      </c>
      <c r="O14" s="32">
        <v>-399</v>
      </c>
      <c r="P14" s="32">
        <v>0</v>
      </c>
      <c r="Q14" s="32">
        <v>0</v>
      </c>
      <c r="R14" s="33">
        <v>0</v>
      </c>
    </row>
    <row r="15" spans="1:18" x14ac:dyDescent="0.25">
      <c r="A15" s="1">
        <v>513</v>
      </c>
      <c r="B15" s="5">
        <v>7</v>
      </c>
      <c r="C15" s="22" t="s">
        <v>276</v>
      </c>
      <c r="D15" s="49">
        <f t="shared" si="0"/>
        <v>1620</v>
      </c>
      <c r="E15" s="24">
        <v>0</v>
      </c>
      <c r="F15" s="117">
        <f>SUM(G15:R15)</f>
        <v>1620</v>
      </c>
      <c r="G15" s="32"/>
      <c r="H15" s="32"/>
      <c r="I15" s="32"/>
      <c r="J15" s="32"/>
      <c r="K15" s="32"/>
      <c r="L15" s="32"/>
      <c r="M15" s="32"/>
      <c r="N15" s="32"/>
      <c r="O15" s="32"/>
      <c r="P15" s="32">
        <v>90</v>
      </c>
      <c r="Q15" s="32">
        <v>1530</v>
      </c>
      <c r="R15" s="33">
        <v>0</v>
      </c>
    </row>
    <row r="16" spans="1:18" x14ac:dyDescent="0.25">
      <c r="A16" s="1">
        <v>513</v>
      </c>
      <c r="C16" s="22" t="s">
        <v>3</v>
      </c>
      <c r="D16" s="49">
        <f t="shared" si="0"/>
        <v>11095</v>
      </c>
      <c r="E16" s="24">
        <v>8400</v>
      </c>
      <c r="F16" s="117">
        <f>SUM(G16:R16)</f>
        <v>11095</v>
      </c>
      <c r="G16" s="32">
        <v>0</v>
      </c>
      <c r="H16" s="32">
        <v>1520</v>
      </c>
      <c r="I16" s="32">
        <v>1634</v>
      </c>
      <c r="J16" s="32">
        <f>3831-480</f>
        <v>3351</v>
      </c>
      <c r="K16" s="32">
        <v>537</v>
      </c>
      <c r="L16" s="32">
        <v>1614</v>
      </c>
      <c r="M16" s="32">
        <v>540</v>
      </c>
      <c r="N16" s="32">
        <v>746</v>
      </c>
      <c r="O16" s="32">
        <v>0</v>
      </c>
      <c r="P16" s="32">
        <v>1153</v>
      </c>
      <c r="Q16" s="32">
        <v>0</v>
      </c>
      <c r="R16" s="33">
        <v>0</v>
      </c>
    </row>
    <row r="17" spans="1:18" x14ac:dyDescent="0.25">
      <c r="A17" s="1">
        <v>514</v>
      </c>
      <c r="C17" s="22" t="s">
        <v>2</v>
      </c>
      <c r="D17" s="49">
        <f t="shared" si="0"/>
        <v>390.53</v>
      </c>
      <c r="E17" s="24">
        <v>500</v>
      </c>
      <c r="F17" s="117">
        <f>SUM(G17:R17)</f>
        <v>475</v>
      </c>
      <c r="G17" s="32">
        <v>13.06</v>
      </c>
      <c r="H17" s="32">
        <v>13.23</v>
      </c>
      <c r="I17" s="32">
        <v>40.770000000000003</v>
      </c>
      <c r="J17" s="32">
        <v>46.97</v>
      </c>
      <c r="K17" s="32">
        <v>45.72</v>
      </c>
      <c r="L17" s="32">
        <v>49.44</v>
      </c>
      <c r="M17" s="32">
        <v>49.41</v>
      </c>
      <c r="N17" s="32">
        <v>46.46</v>
      </c>
      <c r="O17" s="32">
        <v>42</v>
      </c>
      <c r="P17" s="50">
        <f>40.66+2.81</f>
        <v>43.47</v>
      </c>
      <c r="Q17" s="32">
        <v>0</v>
      </c>
      <c r="R17" s="33">
        <v>84.47</v>
      </c>
    </row>
    <row r="18" spans="1:18" x14ac:dyDescent="0.25">
      <c r="A18" s="1">
        <v>515</v>
      </c>
      <c r="C18" s="22" t="s">
        <v>210</v>
      </c>
      <c r="D18" s="49">
        <f t="shared" si="0"/>
        <v>509.67</v>
      </c>
      <c r="E18" s="24">
        <v>7500</v>
      </c>
      <c r="F18" s="117">
        <f>SUM(G18:R18)</f>
        <v>1000</v>
      </c>
      <c r="G18" s="32">
        <v>0</v>
      </c>
      <c r="H18" s="32">
        <v>258.62</v>
      </c>
      <c r="I18" s="32">
        <v>0</v>
      </c>
      <c r="J18" s="32">
        <v>0</v>
      </c>
      <c r="K18" s="32">
        <v>251.05</v>
      </c>
      <c r="L18" s="32"/>
      <c r="M18" s="32"/>
      <c r="N18" s="50"/>
      <c r="O18" s="32"/>
      <c r="P18" s="32"/>
      <c r="Q18" s="32">
        <v>0</v>
      </c>
      <c r="R18" s="33">
        <v>490.33</v>
      </c>
    </row>
    <row r="19" spans="1:18" x14ac:dyDescent="0.25">
      <c r="A19" s="1">
        <v>516</v>
      </c>
      <c r="C19" s="22" t="s">
        <v>215</v>
      </c>
      <c r="D19" s="49">
        <f t="shared" si="0"/>
        <v>0</v>
      </c>
      <c r="E19" s="24">
        <v>0</v>
      </c>
      <c r="F19" s="117">
        <f>SUM(G19:R19)</f>
        <v>0</v>
      </c>
      <c r="G19" s="32">
        <v>0</v>
      </c>
      <c r="H19" s="50">
        <f>134-134</f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3">
        <v>0</v>
      </c>
    </row>
    <row r="20" spans="1:18" x14ac:dyDescent="0.25">
      <c r="A20" s="1">
        <v>516</v>
      </c>
      <c r="B20" s="5">
        <v>1</v>
      </c>
      <c r="C20" s="31" t="s">
        <v>112</v>
      </c>
      <c r="D20" s="49">
        <f t="shared" si="0"/>
        <v>470</v>
      </c>
      <c r="E20" s="24">
        <v>2500</v>
      </c>
      <c r="F20" s="117">
        <f>SUM(G20:R20)</f>
        <v>1000</v>
      </c>
      <c r="G20" s="32">
        <v>50</v>
      </c>
      <c r="H20" s="32">
        <v>0</v>
      </c>
      <c r="I20" s="32">
        <v>0</v>
      </c>
      <c r="J20" s="32">
        <v>140</v>
      </c>
      <c r="K20" s="32">
        <v>0</v>
      </c>
      <c r="L20" s="32">
        <v>55</v>
      </c>
      <c r="M20" s="32">
        <v>140</v>
      </c>
      <c r="N20" s="32">
        <v>80</v>
      </c>
      <c r="O20" s="32">
        <v>0</v>
      </c>
      <c r="P20" s="32">
        <v>0</v>
      </c>
      <c r="Q20" s="32">
        <v>5</v>
      </c>
      <c r="R20" s="33">
        <v>530</v>
      </c>
    </row>
    <row r="21" spans="1:18" x14ac:dyDescent="0.25">
      <c r="A21" s="1">
        <v>516</v>
      </c>
      <c r="B21" s="5">
        <v>2</v>
      </c>
      <c r="C21" s="31" t="s">
        <v>113</v>
      </c>
      <c r="D21" s="49">
        <f t="shared" si="0"/>
        <v>155</v>
      </c>
      <c r="E21" s="24">
        <v>1000</v>
      </c>
      <c r="F21" s="117">
        <f>SUM(G21:R21)</f>
        <v>175</v>
      </c>
      <c r="G21" s="32">
        <v>0</v>
      </c>
      <c r="H21" s="32">
        <v>0</v>
      </c>
      <c r="I21" s="32">
        <v>0</v>
      </c>
      <c r="J21" s="32">
        <v>0</v>
      </c>
      <c r="K21" s="32">
        <v>3.5</v>
      </c>
      <c r="L21" s="32">
        <v>124.5</v>
      </c>
      <c r="M21" s="32">
        <v>18</v>
      </c>
      <c r="N21" s="32">
        <v>2</v>
      </c>
      <c r="O21" s="32">
        <v>0</v>
      </c>
      <c r="P21" s="32">
        <v>0</v>
      </c>
      <c r="Q21" s="32">
        <v>7</v>
      </c>
      <c r="R21" s="33">
        <v>20</v>
      </c>
    </row>
    <row r="22" spans="1:18" x14ac:dyDescent="0.25">
      <c r="A22" s="1">
        <v>516</v>
      </c>
      <c r="B22" s="5">
        <v>3</v>
      </c>
      <c r="C22" s="31" t="s">
        <v>182</v>
      </c>
      <c r="D22" s="49">
        <f t="shared" si="0"/>
        <v>115</v>
      </c>
      <c r="E22" s="24">
        <v>1000</v>
      </c>
      <c r="F22" s="117">
        <f>SUM(G22:R22)</f>
        <v>125</v>
      </c>
      <c r="G22" s="32">
        <v>20</v>
      </c>
      <c r="H22" s="32">
        <v>5</v>
      </c>
      <c r="I22" s="32">
        <v>0</v>
      </c>
      <c r="J22" s="32">
        <v>5</v>
      </c>
      <c r="K22" s="32">
        <v>0</v>
      </c>
      <c r="L22" s="32">
        <v>10</v>
      </c>
      <c r="M22" s="32">
        <v>70</v>
      </c>
      <c r="N22" s="32">
        <v>5</v>
      </c>
      <c r="O22" s="32">
        <v>0</v>
      </c>
      <c r="P22" s="32">
        <v>0</v>
      </c>
      <c r="Q22" s="32">
        <v>0</v>
      </c>
      <c r="R22" s="33">
        <v>10</v>
      </c>
    </row>
    <row r="23" spans="1:18" x14ac:dyDescent="0.25">
      <c r="A23" s="1">
        <v>516</v>
      </c>
      <c r="B23" s="5">
        <v>4</v>
      </c>
      <c r="C23" s="31" t="s">
        <v>218</v>
      </c>
      <c r="D23" s="49">
        <f t="shared" si="0"/>
        <v>156.5</v>
      </c>
      <c r="E23" s="24">
        <v>0</v>
      </c>
      <c r="F23" s="117">
        <f>SUM(G23:R23)</f>
        <v>160</v>
      </c>
      <c r="G23" s="32">
        <v>0</v>
      </c>
      <c r="H23" s="32">
        <v>0</v>
      </c>
      <c r="I23" s="32">
        <v>0</v>
      </c>
      <c r="J23" s="32">
        <v>80</v>
      </c>
      <c r="K23" s="32">
        <v>0</v>
      </c>
      <c r="L23" s="32">
        <v>15</v>
      </c>
      <c r="M23" s="32">
        <v>30</v>
      </c>
      <c r="N23" s="32">
        <v>0</v>
      </c>
      <c r="O23" s="32">
        <v>31.5</v>
      </c>
      <c r="P23" s="32">
        <v>0</v>
      </c>
      <c r="Q23" s="32">
        <v>0</v>
      </c>
      <c r="R23" s="33">
        <v>3.5</v>
      </c>
    </row>
    <row r="24" spans="1:18" x14ac:dyDescent="0.25">
      <c r="A24" s="1">
        <v>516</v>
      </c>
      <c r="B24" s="5">
        <v>5</v>
      </c>
      <c r="C24" s="31" t="s">
        <v>193</v>
      </c>
      <c r="D24" s="49">
        <f t="shared" si="0"/>
        <v>107</v>
      </c>
      <c r="E24" s="24">
        <v>1000</v>
      </c>
      <c r="F24" s="117">
        <f>SUM(G24:R24)</f>
        <v>120</v>
      </c>
      <c r="G24" s="32">
        <v>18</v>
      </c>
      <c r="H24" s="32">
        <v>34</v>
      </c>
      <c r="I24" s="32">
        <v>0</v>
      </c>
      <c r="J24" s="32">
        <v>0</v>
      </c>
      <c r="K24" s="32">
        <v>3</v>
      </c>
      <c r="L24" s="32">
        <v>16</v>
      </c>
      <c r="M24" s="32">
        <v>32</v>
      </c>
      <c r="N24" s="32">
        <v>2</v>
      </c>
      <c r="O24" s="32">
        <v>0</v>
      </c>
      <c r="P24" s="32">
        <v>2</v>
      </c>
      <c r="Q24" s="32">
        <v>0</v>
      </c>
      <c r="R24" s="33">
        <v>13</v>
      </c>
    </row>
    <row r="25" spans="1:18" x14ac:dyDescent="0.25">
      <c r="A25" s="1">
        <v>516</v>
      </c>
      <c r="B25" s="5">
        <v>6</v>
      </c>
      <c r="C25" s="31" t="s">
        <v>194</v>
      </c>
      <c r="D25" s="49">
        <f t="shared" si="0"/>
        <v>320</v>
      </c>
      <c r="E25" s="24">
        <v>1000</v>
      </c>
      <c r="F25" s="117">
        <f>SUM(G25:R25)</f>
        <v>350</v>
      </c>
      <c r="G25" s="32">
        <v>190</v>
      </c>
      <c r="H25" s="32">
        <v>0</v>
      </c>
      <c r="I25" s="32">
        <v>0</v>
      </c>
      <c r="J25" s="32">
        <v>0</v>
      </c>
      <c r="K25" s="32">
        <v>10</v>
      </c>
      <c r="L25" s="32">
        <v>30</v>
      </c>
      <c r="M25" s="32">
        <v>90</v>
      </c>
      <c r="N25" s="32">
        <v>0</v>
      </c>
      <c r="O25" s="32">
        <v>0</v>
      </c>
      <c r="P25" s="32">
        <v>0</v>
      </c>
      <c r="Q25" s="32">
        <v>0</v>
      </c>
      <c r="R25" s="33">
        <v>30</v>
      </c>
    </row>
    <row r="26" spans="1:18" x14ac:dyDescent="0.25">
      <c r="A26" s="1">
        <v>516</v>
      </c>
      <c r="B26" s="5">
        <v>7</v>
      </c>
      <c r="C26" s="31" t="s">
        <v>195</v>
      </c>
      <c r="D26" s="49">
        <f t="shared" si="0"/>
        <v>118</v>
      </c>
      <c r="E26" s="24">
        <v>1000</v>
      </c>
      <c r="F26" s="117">
        <f>SUM(G26:R26)</f>
        <v>150</v>
      </c>
      <c r="G26" s="32">
        <v>3</v>
      </c>
      <c r="H26" s="32">
        <v>0</v>
      </c>
      <c r="I26" s="32">
        <v>0</v>
      </c>
      <c r="J26" s="32">
        <v>78</v>
      </c>
      <c r="K26" s="32">
        <v>0</v>
      </c>
      <c r="L26" s="32">
        <v>6</v>
      </c>
      <c r="M26" s="32">
        <v>25</v>
      </c>
      <c r="N26" s="32">
        <v>6</v>
      </c>
      <c r="O26" s="32">
        <v>0</v>
      </c>
      <c r="P26" s="32">
        <v>0</v>
      </c>
      <c r="Q26" s="32">
        <v>0</v>
      </c>
      <c r="R26" s="33">
        <v>32</v>
      </c>
    </row>
    <row r="27" spans="1:18" x14ac:dyDescent="0.25">
      <c r="A27" s="1">
        <v>516</v>
      </c>
      <c r="B27" s="5">
        <v>8</v>
      </c>
      <c r="C27" s="31" t="s">
        <v>257</v>
      </c>
      <c r="D27" s="49">
        <f t="shared" si="0"/>
        <v>895</v>
      </c>
      <c r="E27" s="24">
        <v>0</v>
      </c>
      <c r="F27" s="117">
        <f>SUM(G27:R27)</f>
        <v>1000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140</v>
      </c>
      <c r="M27" s="32">
        <v>445</v>
      </c>
      <c r="N27" s="32">
        <v>190</v>
      </c>
      <c r="O27" s="32">
        <v>120</v>
      </c>
      <c r="P27" s="32">
        <v>0</v>
      </c>
      <c r="Q27" s="32">
        <v>0</v>
      </c>
      <c r="R27" s="33">
        <v>105</v>
      </c>
    </row>
    <row r="28" spans="1:18" x14ac:dyDescent="0.25">
      <c r="A28" s="1">
        <v>516</v>
      </c>
      <c r="B28" s="5">
        <v>9</v>
      </c>
      <c r="C28" s="31" t="s">
        <v>261</v>
      </c>
      <c r="D28" s="49">
        <f t="shared" si="0"/>
        <v>44</v>
      </c>
      <c r="E28" s="24">
        <v>0</v>
      </c>
      <c r="F28" s="117">
        <f>SUM(G28:R28)</f>
        <v>50</v>
      </c>
      <c r="G28" s="32"/>
      <c r="H28" s="32"/>
      <c r="I28" s="32">
        <v>0</v>
      </c>
      <c r="J28" s="32">
        <v>0</v>
      </c>
      <c r="K28" s="32">
        <v>0</v>
      </c>
      <c r="L28" s="32">
        <v>0</v>
      </c>
      <c r="M28" s="32">
        <v>34</v>
      </c>
      <c r="N28" s="32">
        <v>10</v>
      </c>
      <c r="O28" s="32">
        <v>0</v>
      </c>
      <c r="P28" s="32">
        <v>0</v>
      </c>
      <c r="Q28" s="32">
        <v>0</v>
      </c>
      <c r="R28" s="33">
        <v>6</v>
      </c>
    </row>
    <row r="29" spans="1:18" x14ac:dyDescent="0.25">
      <c r="A29" s="1">
        <v>517</v>
      </c>
      <c r="C29" s="31" t="s">
        <v>4</v>
      </c>
      <c r="D29" s="49">
        <f t="shared" si="0"/>
        <v>1116.43</v>
      </c>
      <c r="E29" s="24">
        <v>1200</v>
      </c>
      <c r="F29" s="117">
        <f>SUM(G29:R29)</f>
        <v>1200</v>
      </c>
      <c r="G29" s="47">
        <v>360</v>
      </c>
      <c r="H29" s="47">
        <v>0</v>
      </c>
      <c r="I29" s="47">
        <v>0</v>
      </c>
      <c r="J29" s="47">
        <v>0</v>
      </c>
      <c r="K29" s="47">
        <v>286</v>
      </c>
      <c r="L29" s="47">
        <v>0</v>
      </c>
      <c r="M29" s="47">
        <v>0</v>
      </c>
      <c r="N29" s="47">
        <v>470.43</v>
      </c>
      <c r="O29" s="47">
        <v>0</v>
      </c>
      <c r="P29" s="47">
        <v>0</v>
      </c>
      <c r="Q29" s="47">
        <v>0</v>
      </c>
      <c r="R29" s="38">
        <v>83.57</v>
      </c>
    </row>
    <row r="30" spans="1:18" x14ac:dyDescent="0.25">
      <c r="C30" s="22" t="s">
        <v>7</v>
      </c>
      <c r="D30" s="10">
        <f t="shared" ref="D30:R30" si="2">SUM(D8:D29)</f>
        <v>192204.30000000002</v>
      </c>
      <c r="E30" s="43">
        <f>SUM(E8:E29)</f>
        <v>202969.17</v>
      </c>
      <c r="F30" s="118">
        <f t="shared" si="2"/>
        <v>193952.17</v>
      </c>
      <c r="G30" s="10">
        <f t="shared" si="2"/>
        <v>14003.23</v>
      </c>
      <c r="H30" s="10">
        <f t="shared" si="2"/>
        <v>38200.850000000006</v>
      </c>
      <c r="I30" s="43">
        <f t="shared" si="2"/>
        <v>80896.77</v>
      </c>
      <c r="J30" s="43">
        <f t="shared" si="2"/>
        <v>39227.97</v>
      </c>
      <c r="K30" s="43">
        <f t="shared" si="2"/>
        <v>7959.27</v>
      </c>
      <c r="L30" s="43">
        <f t="shared" si="2"/>
        <v>5188.9399999999996</v>
      </c>
      <c r="M30" s="43">
        <f t="shared" si="2"/>
        <v>2693.41</v>
      </c>
      <c r="N30" s="43">
        <f t="shared" si="2"/>
        <v>1512.89</v>
      </c>
      <c r="O30" s="43">
        <f t="shared" si="2"/>
        <v>-205.5</v>
      </c>
      <c r="P30" s="43">
        <f t="shared" si="2"/>
        <v>1718.47</v>
      </c>
      <c r="Q30" s="43">
        <f t="shared" si="2"/>
        <v>1008</v>
      </c>
      <c r="R30" s="35">
        <f t="shared" si="2"/>
        <v>1747.87</v>
      </c>
    </row>
    <row r="31" spans="1:18" ht="13.5" customHeight="1" x14ac:dyDescent="0.25">
      <c r="A31" s="3"/>
      <c r="E31" s="48"/>
      <c r="G31" s="32"/>
      <c r="H31" s="32"/>
      <c r="I31" s="32"/>
      <c r="J31" s="32"/>
      <c r="K31" s="44"/>
      <c r="L31" s="44"/>
      <c r="M31" s="44"/>
      <c r="N31" s="44"/>
      <c r="O31" s="44"/>
      <c r="P31" s="44"/>
      <c r="Q31" s="44"/>
      <c r="R31"/>
    </row>
    <row r="32" spans="1:18" ht="13.5" customHeight="1" x14ac:dyDescent="0.25">
      <c r="C32" s="22" t="s">
        <v>8</v>
      </c>
      <c r="D32" s="3"/>
      <c r="E32" s="44"/>
      <c r="F32" s="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/>
    </row>
    <row r="33" spans="1:20" ht="13.5" customHeight="1" x14ac:dyDescent="0.25">
      <c r="A33" s="1">
        <v>611</v>
      </c>
      <c r="C33" s="31" t="s">
        <v>9</v>
      </c>
      <c r="D33" s="49">
        <f t="shared" ref="D33:D96" si="3">SUM(G33:Q33)</f>
        <v>0</v>
      </c>
      <c r="E33" s="24">
        <v>3500</v>
      </c>
      <c r="F33" s="117">
        <f>SUM(G33:R33)</f>
        <v>3500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3">
        <v>3500</v>
      </c>
    </row>
    <row r="34" spans="1:20" ht="13.5" customHeight="1" x14ac:dyDescent="0.25">
      <c r="A34" s="1">
        <v>613</v>
      </c>
      <c r="B34" s="8">
        <v>1</v>
      </c>
      <c r="C34" s="31" t="s">
        <v>221</v>
      </c>
      <c r="D34" s="49">
        <f t="shared" si="3"/>
        <v>0</v>
      </c>
      <c r="E34" s="113">
        <v>400</v>
      </c>
      <c r="F34" s="117">
        <f>SUM(G34:R34)</f>
        <v>400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3">
        <v>400</v>
      </c>
      <c r="S34" s="33">
        <v>400</v>
      </c>
      <c r="T34" s="1" t="s">
        <v>216</v>
      </c>
    </row>
    <row r="35" spans="1:20" ht="13.5" customHeight="1" x14ac:dyDescent="0.25">
      <c r="A35" s="1">
        <v>613</v>
      </c>
      <c r="C35" s="31" t="s">
        <v>10</v>
      </c>
      <c r="D35" s="49">
        <f t="shared" si="3"/>
        <v>235.84</v>
      </c>
      <c r="E35" s="24">
        <v>2500</v>
      </c>
      <c r="F35" s="117">
        <f>SUM(G35:R35)</f>
        <v>2500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235.84</v>
      </c>
      <c r="P35" s="32">
        <v>0</v>
      </c>
      <c r="Q35" s="32">
        <v>0</v>
      </c>
      <c r="R35" s="33">
        <f>2500-235.84</f>
        <v>2264.16</v>
      </c>
      <c r="S35" s="33">
        <v>400</v>
      </c>
      <c r="T35" s="1" t="s">
        <v>216</v>
      </c>
    </row>
    <row r="36" spans="1:20" ht="13.5" customHeight="1" x14ac:dyDescent="0.25">
      <c r="A36" s="1">
        <v>614</v>
      </c>
      <c r="C36" s="31" t="s">
        <v>173</v>
      </c>
      <c r="D36" s="49">
        <f t="shared" si="3"/>
        <v>3120.0099999999998</v>
      </c>
      <c r="E36" s="24">
        <v>3000</v>
      </c>
      <c r="F36" s="117">
        <f>SUM(G36:R36)</f>
        <v>3120.0099999999998</v>
      </c>
      <c r="G36" s="32">
        <v>0</v>
      </c>
      <c r="H36" s="32">
        <v>144.6</v>
      </c>
      <c r="I36" s="32">
        <v>0</v>
      </c>
      <c r="J36" s="32">
        <v>0</v>
      </c>
      <c r="K36" s="32">
        <v>1567.12</v>
      </c>
      <c r="L36" s="32">
        <v>190.5</v>
      </c>
      <c r="M36" s="32">
        <v>0</v>
      </c>
      <c r="N36" s="69">
        <v>1178.1199999999999</v>
      </c>
      <c r="O36" s="32">
        <v>0</v>
      </c>
      <c r="P36" s="32">
        <v>0</v>
      </c>
      <c r="Q36" s="32">
        <v>39.67</v>
      </c>
      <c r="R36" s="33">
        <v>0</v>
      </c>
    </row>
    <row r="37" spans="1:20" ht="13.5" customHeight="1" x14ac:dyDescent="0.25">
      <c r="A37" s="1">
        <v>621</v>
      </c>
      <c r="C37" s="31" t="s">
        <v>11</v>
      </c>
      <c r="D37" s="49">
        <f t="shared" si="3"/>
        <v>0</v>
      </c>
      <c r="E37" s="24">
        <v>2000</v>
      </c>
      <c r="F37" s="117">
        <f>SUM(G37:R37)</f>
        <v>2000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3">
        <v>2000</v>
      </c>
    </row>
    <row r="38" spans="1:20" ht="13.5" customHeight="1" x14ac:dyDescent="0.25">
      <c r="A38" s="1">
        <v>623</v>
      </c>
      <c r="B38" s="8">
        <v>1</v>
      </c>
      <c r="C38" s="31" t="s">
        <v>222</v>
      </c>
      <c r="D38" s="49">
        <f t="shared" si="3"/>
        <v>0</v>
      </c>
      <c r="E38" s="113">
        <v>400</v>
      </c>
      <c r="F38" s="117">
        <f>SUM(G38:R38)</f>
        <v>400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3">
        <v>400</v>
      </c>
      <c r="S38" s="33">
        <v>400</v>
      </c>
      <c r="T38" s="1" t="s">
        <v>216</v>
      </c>
    </row>
    <row r="39" spans="1:20" ht="13.5" customHeight="1" x14ac:dyDescent="0.25">
      <c r="A39" s="1">
        <v>623</v>
      </c>
      <c r="C39" s="31" t="s">
        <v>12</v>
      </c>
      <c r="D39" s="49">
        <f t="shared" si="3"/>
        <v>158.19</v>
      </c>
      <c r="E39" s="24">
        <v>750</v>
      </c>
      <c r="F39" s="117">
        <f>SUM(G39:R39)</f>
        <v>750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158.19</v>
      </c>
      <c r="P39" s="32">
        <v>0</v>
      </c>
      <c r="Q39" s="32">
        <v>0</v>
      </c>
      <c r="R39" s="33">
        <v>591.80999999999995</v>
      </c>
      <c r="S39" s="33">
        <v>400</v>
      </c>
      <c r="T39" s="1" t="s">
        <v>250</v>
      </c>
    </row>
    <row r="40" spans="1:20" ht="13.5" customHeight="1" x14ac:dyDescent="0.25">
      <c r="A40" s="1">
        <v>624</v>
      </c>
      <c r="C40" s="31" t="s">
        <v>13</v>
      </c>
      <c r="D40" s="49">
        <f t="shared" si="3"/>
        <v>0</v>
      </c>
      <c r="E40" s="24">
        <v>500</v>
      </c>
      <c r="F40" s="117">
        <f>SUM(G40:R40)</f>
        <v>500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3">
        <v>500</v>
      </c>
    </row>
    <row r="41" spans="1:20" ht="13.5" customHeight="1" x14ac:dyDescent="0.25">
      <c r="A41" s="1">
        <v>631</v>
      </c>
      <c r="C41" s="31" t="s">
        <v>14</v>
      </c>
      <c r="D41" s="49">
        <f t="shared" si="3"/>
        <v>0</v>
      </c>
      <c r="E41" s="24">
        <v>0</v>
      </c>
      <c r="F41" s="117">
        <f>SUM(G41:R41)</f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3">
        <v>0</v>
      </c>
    </row>
    <row r="42" spans="1:20" ht="13.5" customHeight="1" x14ac:dyDescent="0.25">
      <c r="A42" s="1">
        <v>633</v>
      </c>
      <c r="C42" s="31" t="s">
        <v>15</v>
      </c>
      <c r="D42" s="49">
        <f t="shared" si="3"/>
        <v>247.2</v>
      </c>
      <c r="E42" s="113">
        <f>500+200</f>
        <v>700</v>
      </c>
      <c r="F42" s="117">
        <f>SUM(G42:R42)</f>
        <v>700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247.2</v>
      </c>
      <c r="O42" s="32">
        <v>0</v>
      </c>
      <c r="P42" s="32">
        <v>0</v>
      </c>
      <c r="Q42" s="32">
        <v>0</v>
      </c>
      <c r="R42" s="33">
        <v>452.8</v>
      </c>
      <c r="S42" s="33">
        <v>200</v>
      </c>
      <c r="T42" s="1" t="s">
        <v>217</v>
      </c>
    </row>
    <row r="43" spans="1:20" ht="13.5" customHeight="1" x14ac:dyDescent="0.25">
      <c r="A43" s="1">
        <v>640</v>
      </c>
      <c r="C43" s="31" t="s">
        <v>83</v>
      </c>
      <c r="D43" s="49">
        <f t="shared" si="3"/>
        <v>0</v>
      </c>
      <c r="E43" s="24">
        <v>4000</v>
      </c>
      <c r="F43" s="117">
        <f>SUM(G43:R43)</f>
        <v>4000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3">
        <v>4000</v>
      </c>
    </row>
    <row r="44" spans="1:20" ht="13.5" customHeight="1" x14ac:dyDescent="0.25">
      <c r="A44" s="1">
        <v>641</v>
      </c>
      <c r="C44" s="31" t="s">
        <v>16</v>
      </c>
      <c r="D44" s="49">
        <f t="shared" si="3"/>
        <v>46153.919999999998</v>
      </c>
      <c r="E44" s="24">
        <v>50000</v>
      </c>
      <c r="F44" s="117">
        <f>SUM(G44:R44)</f>
        <v>50000.08</v>
      </c>
      <c r="G44" s="32">
        <v>3846.16</v>
      </c>
      <c r="H44" s="32">
        <v>3846.16</v>
      </c>
      <c r="I44" s="32">
        <v>5769.24</v>
      </c>
      <c r="J44" s="32">
        <v>3846.16</v>
      </c>
      <c r="K44" s="32">
        <v>3846.16</v>
      </c>
      <c r="L44" s="32">
        <v>3846.16</v>
      </c>
      <c r="M44" s="32">
        <v>3846.16</v>
      </c>
      <c r="N44" s="32">
        <v>3846.16</v>
      </c>
      <c r="O44" s="32">
        <v>5769.24</v>
      </c>
      <c r="P44" s="32">
        <f>5769.24-1923.08</f>
        <v>3846.16</v>
      </c>
      <c r="Q44" s="32">
        <v>3846.16</v>
      </c>
      <c r="R44" s="33">
        <v>3846.16</v>
      </c>
    </row>
    <row r="45" spans="1:20" ht="13.5" customHeight="1" x14ac:dyDescent="0.25">
      <c r="A45" s="1">
        <v>643</v>
      </c>
      <c r="C45" s="31" t="s">
        <v>170</v>
      </c>
      <c r="D45" s="49">
        <f t="shared" si="3"/>
        <v>3861.43</v>
      </c>
      <c r="E45" s="24">
        <v>5100</v>
      </c>
      <c r="F45" s="117">
        <f>SUM(G45:R45)</f>
        <v>5100</v>
      </c>
      <c r="G45" s="32">
        <v>473.73</v>
      </c>
      <c r="H45" s="32">
        <v>350.62</v>
      </c>
      <c r="I45" s="32">
        <v>476.86</v>
      </c>
      <c r="J45" s="32">
        <v>459.2</v>
      </c>
      <c r="K45" s="32">
        <f>415.86+200.1</f>
        <v>615.96</v>
      </c>
      <c r="L45" s="32">
        <v>372.14</v>
      </c>
      <c r="M45" s="32">
        <v>372.3</v>
      </c>
      <c r="N45" s="32">
        <v>95.75</v>
      </c>
      <c r="O45" s="32">
        <v>547.37</v>
      </c>
      <c r="P45" s="32">
        <v>0</v>
      </c>
      <c r="Q45" s="32">
        <v>97.5</v>
      </c>
      <c r="R45" s="33">
        <v>1238.57</v>
      </c>
    </row>
    <row r="46" spans="1:20" x14ac:dyDescent="0.25">
      <c r="A46" s="1">
        <v>644</v>
      </c>
      <c r="C46" s="31" t="s">
        <v>17</v>
      </c>
      <c r="D46" s="49">
        <f t="shared" si="3"/>
        <v>3200.71</v>
      </c>
      <c r="E46" s="24">
        <v>3500</v>
      </c>
      <c r="F46" s="117">
        <f>SUM(G46:R46)</f>
        <v>3500</v>
      </c>
      <c r="G46" s="32">
        <v>0</v>
      </c>
      <c r="H46" s="32">
        <v>0</v>
      </c>
      <c r="I46" s="32">
        <v>0</v>
      </c>
      <c r="J46" s="32">
        <v>0</v>
      </c>
      <c r="K46" s="32">
        <v>480</v>
      </c>
      <c r="L46" s="32">
        <v>788.74</v>
      </c>
      <c r="M46" s="32">
        <v>0</v>
      </c>
      <c r="N46" s="32">
        <v>0</v>
      </c>
      <c r="O46" s="32">
        <v>1648.63</v>
      </c>
      <c r="P46" s="32">
        <v>0</v>
      </c>
      <c r="Q46" s="32">
        <v>283.33999999999997</v>
      </c>
      <c r="R46" s="33">
        <v>299.29000000000002</v>
      </c>
    </row>
    <row r="47" spans="1:20" x14ac:dyDescent="0.25">
      <c r="A47" s="1">
        <v>646</v>
      </c>
      <c r="C47" s="31" t="s">
        <v>18</v>
      </c>
      <c r="D47" s="49">
        <f t="shared" si="3"/>
        <v>200.43</v>
      </c>
      <c r="E47" s="24">
        <v>250</v>
      </c>
      <c r="F47" s="117">
        <f>SUM(G47:R47)</f>
        <v>250</v>
      </c>
      <c r="G47" s="32">
        <v>0</v>
      </c>
      <c r="H47" s="32">
        <v>0</v>
      </c>
      <c r="I47" s="32">
        <v>0</v>
      </c>
      <c r="J47" s="32">
        <v>200.43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3">
        <v>49.57</v>
      </c>
    </row>
    <row r="48" spans="1:20" x14ac:dyDescent="0.25">
      <c r="A48" s="1">
        <v>651</v>
      </c>
      <c r="B48" s="7" t="s">
        <v>19</v>
      </c>
      <c r="C48" s="31" t="s">
        <v>127</v>
      </c>
      <c r="D48" s="49">
        <f t="shared" si="3"/>
        <v>0</v>
      </c>
      <c r="E48" s="25">
        <v>0</v>
      </c>
      <c r="F48" s="117">
        <f>SUM(G48:R48)</f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3">
        <v>0</v>
      </c>
    </row>
    <row r="49" spans="1:18" x14ac:dyDescent="0.25">
      <c r="A49" s="1">
        <v>652</v>
      </c>
      <c r="B49" s="7" t="s">
        <v>19</v>
      </c>
      <c r="C49" s="31" t="s">
        <v>128</v>
      </c>
      <c r="D49" s="49">
        <f t="shared" si="3"/>
        <v>0</v>
      </c>
      <c r="E49" s="32">
        <v>4050</v>
      </c>
      <c r="F49" s="117">
        <f>SUM(G49:R49)</f>
        <v>4050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3">
        <v>4050</v>
      </c>
    </row>
    <row r="50" spans="1:18" x14ac:dyDescent="0.25">
      <c r="A50" s="1">
        <v>653</v>
      </c>
      <c r="B50" s="26"/>
      <c r="C50" s="31" t="s">
        <v>199</v>
      </c>
      <c r="D50" s="49">
        <f t="shared" si="3"/>
        <v>0</v>
      </c>
      <c r="E50" s="32">
        <v>0</v>
      </c>
      <c r="F50" s="117">
        <f>SUM(G50:R50)</f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3">
        <v>0</v>
      </c>
    </row>
    <row r="51" spans="1:18" x14ac:dyDescent="0.25">
      <c r="A51" s="1">
        <v>653</v>
      </c>
      <c r="B51" s="11">
        <v>1</v>
      </c>
      <c r="C51" s="31" t="s">
        <v>26</v>
      </c>
      <c r="D51" s="49">
        <f t="shared" si="3"/>
        <v>0</v>
      </c>
      <c r="E51" s="113">
        <f>174+50</f>
        <v>224</v>
      </c>
      <c r="F51" s="117">
        <f>SUM(G51:R51)</f>
        <v>224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3">
        <v>224</v>
      </c>
    </row>
    <row r="52" spans="1:18" x14ac:dyDescent="0.25">
      <c r="A52" s="1">
        <v>653</v>
      </c>
      <c r="B52" s="11">
        <v>3</v>
      </c>
      <c r="C52" s="31" t="s">
        <v>26</v>
      </c>
      <c r="D52" s="49">
        <f t="shared" si="3"/>
        <v>824</v>
      </c>
      <c r="E52" s="113">
        <f>774+50</f>
        <v>824</v>
      </c>
      <c r="F52" s="117">
        <f>SUM(G52:R52)</f>
        <v>824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824</v>
      </c>
      <c r="O52" s="32">
        <v>0</v>
      </c>
      <c r="P52" s="32">
        <v>0</v>
      </c>
      <c r="Q52" s="32">
        <v>0</v>
      </c>
      <c r="R52" s="33">
        <v>0</v>
      </c>
    </row>
    <row r="53" spans="1:18" x14ac:dyDescent="0.25">
      <c r="A53" s="1">
        <v>653</v>
      </c>
      <c r="B53" s="11">
        <v>4</v>
      </c>
      <c r="C53" s="31" t="s">
        <v>26</v>
      </c>
      <c r="D53" s="49">
        <f t="shared" si="3"/>
        <v>0</v>
      </c>
      <c r="E53" s="113">
        <f>130+50</f>
        <v>180</v>
      </c>
      <c r="F53" s="117">
        <f>SUM(G53:R53)</f>
        <v>180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3">
        <v>180</v>
      </c>
    </row>
    <row r="54" spans="1:18" x14ac:dyDescent="0.25">
      <c r="A54" s="1">
        <v>653</v>
      </c>
      <c r="B54" s="11">
        <v>5</v>
      </c>
      <c r="C54" s="31" t="s">
        <v>26</v>
      </c>
      <c r="D54" s="49">
        <f t="shared" si="3"/>
        <v>360.29999999999995</v>
      </c>
      <c r="E54" s="113">
        <f>392+50</f>
        <v>442</v>
      </c>
      <c r="F54" s="117">
        <f>SUM(G54:R54)</f>
        <v>441.99999999999994</v>
      </c>
      <c r="G54" s="32">
        <v>0</v>
      </c>
      <c r="H54" s="32">
        <v>0</v>
      </c>
      <c r="I54" s="32">
        <v>0</v>
      </c>
      <c r="J54" s="32">
        <v>0</v>
      </c>
      <c r="K54" s="32">
        <v>159.6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200.7</v>
      </c>
      <c r="R54" s="33">
        <v>81.7</v>
      </c>
    </row>
    <row r="55" spans="1:18" x14ac:dyDescent="0.25">
      <c r="A55" s="1">
        <v>653</v>
      </c>
      <c r="B55" s="11">
        <v>7</v>
      </c>
      <c r="C55" s="31" t="s">
        <v>26</v>
      </c>
      <c r="D55" s="49">
        <f t="shared" si="3"/>
        <v>0</v>
      </c>
      <c r="E55" s="113">
        <f>150+50</f>
        <v>200</v>
      </c>
      <c r="F55" s="117">
        <f>SUM(G55:R55)</f>
        <v>200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3">
        <v>200</v>
      </c>
    </row>
    <row r="56" spans="1:18" x14ac:dyDescent="0.25">
      <c r="A56" s="1">
        <v>653</v>
      </c>
      <c r="B56" s="11">
        <v>9</v>
      </c>
      <c r="C56" s="31" t="s">
        <v>26</v>
      </c>
      <c r="D56" s="49">
        <f t="shared" si="3"/>
        <v>0</v>
      </c>
      <c r="E56" s="113">
        <f>280+50</f>
        <v>330</v>
      </c>
      <c r="F56" s="117">
        <f>SUM(G56:R56)</f>
        <v>330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3">
        <v>330</v>
      </c>
    </row>
    <row r="57" spans="1:18" x14ac:dyDescent="0.25">
      <c r="A57" s="1">
        <v>653</v>
      </c>
      <c r="B57" s="11">
        <v>10</v>
      </c>
      <c r="C57" s="31" t="s">
        <v>26</v>
      </c>
      <c r="D57" s="49">
        <f t="shared" si="3"/>
        <v>0</v>
      </c>
      <c r="E57" s="113">
        <f>218+50</f>
        <v>268</v>
      </c>
      <c r="F57" s="117">
        <f>SUM(G57:R57)</f>
        <v>268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3">
        <v>268</v>
      </c>
    </row>
    <row r="58" spans="1:18" x14ac:dyDescent="0.25">
      <c r="A58" s="1">
        <v>653</v>
      </c>
      <c r="B58" s="11">
        <v>11</v>
      </c>
      <c r="C58" s="31" t="s">
        <v>26</v>
      </c>
      <c r="D58" s="49">
        <f t="shared" si="3"/>
        <v>0</v>
      </c>
      <c r="E58" s="113">
        <f>366+50</f>
        <v>416</v>
      </c>
      <c r="F58" s="117">
        <f>SUM(G58:R58)</f>
        <v>416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3">
        <v>416</v>
      </c>
    </row>
    <row r="59" spans="1:18" x14ac:dyDescent="0.25">
      <c r="A59" s="1">
        <v>653</v>
      </c>
      <c r="B59" s="11">
        <v>12</v>
      </c>
      <c r="C59" s="31" t="s">
        <v>26</v>
      </c>
      <c r="D59" s="49">
        <f t="shared" si="3"/>
        <v>0</v>
      </c>
      <c r="E59" s="113">
        <f>248+50</f>
        <v>298</v>
      </c>
      <c r="F59" s="117">
        <f>SUM(G59:R59)</f>
        <v>298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3">
        <v>298</v>
      </c>
    </row>
    <row r="60" spans="1:18" x14ac:dyDescent="0.25">
      <c r="A60" s="1">
        <v>653</v>
      </c>
      <c r="B60" s="11">
        <v>13</v>
      </c>
      <c r="C60" s="31" t="s">
        <v>26</v>
      </c>
      <c r="D60" s="49">
        <f t="shared" si="3"/>
        <v>0</v>
      </c>
      <c r="E60" s="113">
        <f>416+50</f>
        <v>466</v>
      </c>
      <c r="F60" s="117">
        <f>SUM(G60:R60)</f>
        <v>466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3">
        <v>466</v>
      </c>
    </row>
    <row r="61" spans="1:18" x14ac:dyDescent="0.25">
      <c r="A61" s="1">
        <v>653</v>
      </c>
      <c r="B61" s="11">
        <v>14</v>
      </c>
      <c r="C61" s="31" t="s">
        <v>26</v>
      </c>
      <c r="D61" s="49">
        <f t="shared" si="3"/>
        <v>0</v>
      </c>
      <c r="E61" s="113">
        <f>384+50</f>
        <v>434</v>
      </c>
      <c r="F61" s="117">
        <f>SUM(G61:R61)</f>
        <v>434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69">
        <v>0</v>
      </c>
      <c r="O61" s="32">
        <v>0</v>
      </c>
      <c r="P61" s="32">
        <v>0</v>
      </c>
      <c r="Q61" s="32">
        <v>0</v>
      </c>
      <c r="R61" s="33">
        <v>434</v>
      </c>
    </row>
    <row r="62" spans="1:18" x14ac:dyDescent="0.25">
      <c r="A62" s="1">
        <v>653</v>
      </c>
      <c r="B62" s="11">
        <v>16</v>
      </c>
      <c r="C62" s="31" t="s">
        <v>26</v>
      </c>
      <c r="D62" s="49">
        <f t="shared" si="3"/>
        <v>0</v>
      </c>
      <c r="E62" s="113">
        <f>248+50</f>
        <v>298</v>
      </c>
      <c r="F62" s="117">
        <f>SUM(G62:R62)</f>
        <v>298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3">
        <v>298</v>
      </c>
    </row>
    <row r="63" spans="1:18" x14ac:dyDescent="0.25">
      <c r="A63" s="1">
        <v>653</v>
      </c>
      <c r="B63" s="11">
        <v>17</v>
      </c>
      <c r="C63" s="31" t="s">
        <v>26</v>
      </c>
      <c r="D63" s="49">
        <f t="shared" si="3"/>
        <v>0</v>
      </c>
      <c r="E63" s="113">
        <f>280+50</f>
        <v>330</v>
      </c>
      <c r="F63" s="117">
        <f>SUM(G63:R63)</f>
        <v>330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3">
        <v>330</v>
      </c>
    </row>
    <row r="64" spans="1:18" x14ac:dyDescent="0.25">
      <c r="A64" s="1">
        <v>653</v>
      </c>
      <c r="B64" s="11">
        <v>18</v>
      </c>
      <c r="C64" s="31" t="s">
        <v>26</v>
      </c>
      <c r="D64" s="49">
        <f t="shared" si="3"/>
        <v>141.84</v>
      </c>
      <c r="E64" s="113">
        <f>298+50</f>
        <v>348</v>
      </c>
      <c r="F64" s="117">
        <f>SUM(G64:R64)</f>
        <v>348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141.84</v>
      </c>
      <c r="P64" s="32">
        <v>0</v>
      </c>
      <c r="Q64" s="32">
        <v>0</v>
      </c>
      <c r="R64" s="33">
        <v>206.16</v>
      </c>
    </row>
    <row r="65" spans="1:19" x14ac:dyDescent="0.25">
      <c r="A65" s="1">
        <v>653</v>
      </c>
      <c r="B65" s="11">
        <v>19</v>
      </c>
      <c r="C65" s="31" t="s">
        <v>26</v>
      </c>
      <c r="D65" s="49">
        <f t="shared" si="3"/>
        <v>0</v>
      </c>
      <c r="E65" s="113">
        <f>656+50</f>
        <v>706</v>
      </c>
      <c r="F65" s="117">
        <f>SUM(G65:R65)</f>
        <v>706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3">
        <v>706</v>
      </c>
    </row>
    <row r="66" spans="1:19" x14ac:dyDescent="0.25">
      <c r="A66" s="1">
        <v>653</v>
      </c>
      <c r="B66" s="11">
        <v>20</v>
      </c>
      <c r="C66" s="31" t="s">
        <v>26</v>
      </c>
      <c r="D66" s="49">
        <f t="shared" si="3"/>
        <v>0</v>
      </c>
      <c r="E66" s="113">
        <f>692+50</f>
        <v>742</v>
      </c>
      <c r="F66" s="117">
        <f>SUM(G66:R66)</f>
        <v>742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3">
        <v>742</v>
      </c>
    </row>
    <row r="67" spans="1:19" x14ac:dyDescent="0.25">
      <c r="A67" s="1">
        <v>653</v>
      </c>
      <c r="B67" s="11">
        <v>21</v>
      </c>
      <c r="C67" s="31" t="s">
        <v>26</v>
      </c>
      <c r="D67" s="49">
        <f t="shared" si="3"/>
        <v>0</v>
      </c>
      <c r="E67" s="113">
        <f>298+50</f>
        <v>348</v>
      </c>
      <c r="F67" s="117">
        <f>SUM(G67:R67)</f>
        <v>348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3">
        <v>348</v>
      </c>
    </row>
    <row r="68" spans="1:19" x14ac:dyDescent="0.25">
      <c r="A68" s="1">
        <v>653</v>
      </c>
      <c r="B68" s="11">
        <v>22</v>
      </c>
      <c r="C68" s="31" t="s">
        <v>26</v>
      </c>
      <c r="D68" s="49">
        <f t="shared" si="3"/>
        <v>508.84</v>
      </c>
      <c r="E68" s="113">
        <f>1096+50</f>
        <v>1146</v>
      </c>
      <c r="F68" s="117">
        <f>SUM(G68:R68)</f>
        <v>1146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129</v>
      </c>
      <c r="N68" s="32">
        <v>379.84</v>
      </c>
      <c r="O68" s="32">
        <v>0</v>
      </c>
      <c r="P68" s="32">
        <v>0</v>
      </c>
      <c r="Q68" s="32">
        <v>0</v>
      </c>
      <c r="R68" s="33">
        <v>637.16</v>
      </c>
    </row>
    <row r="69" spans="1:19" x14ac:dyDescent="0.25">
      <c r="A69" s="1">
        <v>6560</v>
      </c>
      <c r="B69" s="11"/>
      <c r="C69" s="31" t="s">
        <v>255</v>
      </c>
      <c r="D69" s="49">
        <f t="shared" si="3"/>
        <v>85.75</v>
      </c>
      <c r="E69" s="24">
        <v>0</v>
      </c>
      <c r="F69" s="117">
        <f>SUM(G69:R69)</f>
        <v>92.75</v>
      </c>
      <c r="G69" s="32">
        <v>8.75</v>
      </c>
      <c r="H69" s="32">
        <v>7</v>
      </c>
      <c r="I69" s="32">
        <v>10.5</v>
      </c>
      <c r="J69" s="32">
        <v>7</v>
      </c>
      <c r="K69" s="32">
        <v>7</v>
      </c>
      <c r="L69" s="32">
        <v>7</v>
      </c>
      <c r="M69" s="32">
        <v>7</v>
      </c>
      <c r="N69" s="32">
        <v>7</v>
      </c>
      <c r="O69" s="32">
        <v>10.5</v>
      </c>
      <c r="P69" s="32">
        <v>7</v>
      </c>
      <c r="Q69" s="32">
        <v>7</v>
      </c>
      <c r="R69" s="33">
        <v>7</v>
      </c>
    </row>
    <row r="70" spans="1:19" x14ac:dyDescent="0.25">
      <c r="A70" s="1">
        <v>661</v>
      </c>
      <c r="C70" s="31" t="s">
        <v>27</v>
      </c>
      <c r="D70" s="49">
        <f t="shared" si="3"/>
        <v>0</v>
      </c>
      <c r="E70" s="25">
        <v>0</v>
      </c>
      <c r="F70" s="117">
        <f>SUM(G70:R70)</f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3">
        <v>0</v>
      </c>
    </row>
    <row r="71" spans="1:19" x14ac:dyDescent="0.25">
      <c r="A71" s="1">
        <v>662</v>
      </c>
      <c r="C71" s="31" t="s">
        <v>28</v>
      </c>
      <c r="D71" s="49">
        <f t="shared" si="3"/>
        <v>0</v>
      </c>
      <c r="E71" s="24">
        <v>4050</v>
      </c>
      <c r="F71" s="117">
        <f>SUM(G71:R71)</f>
        <v>4050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3">
        <v>4050</v>
      </c>
    </row>
    <row r="72" spans="1:19" x14ac:dyDescent="0.25">
      <c r="A72" s="1">
        <v>669</v>
      </c>
      <c r="C72" s="31" t="s">
        <v>29</v>
      </c>
      <c r="D72" s="49">
        <f t="shared" si="3"/>
        <v>0</v>
      </c>
      <c r="E72" s="25">
        <v>0</v>
      </c>
      <c r="F72" s="117">
        <f>SUM(G72:R72)</f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3">
        <v>0</v>
      </c>
    </row>
    <row r="73" spans="1:19" x14ac:dyDescent="0.25">
      <c r="A73" s="1">
        <v>691</v>
      </c>
      <c r="B73" s="8" t="s">
        <v>20</v>
      </c>
      <c r="C73" s="31" t="s">
        <v>30</v>
      </c>
      <c r="D73" s="49">
        <f t="shared" si="3"/>
        <v>0</v>
      </c>
      <c r="E73" s="24">
        <v>405</v>
      </c>
      <c r="F73" s="117">
        <f>SUM(G73:R73)</f>
        <v>405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3">
        <v>405</v>
      </c>
    </row>
    <row r="74" spans="1:19" x14ac:dyDescent="0.25">
      <c r="A74" s="1">
        <v>691</v>
      </c>
      <c r="B74" s="8" t="s">
        <v>21</v>
      </c>
      <c r="C74" s="31" t="s">
        <v>176</v>
      </c>
      <c r="D74" s="49">
        <f t="shared" si="3"/>
        <v>8932.17</v>
      </c>
      <c r="E74" s="113">
        <f>4000+5000</f>
        <v>9000</v>
      </c>
      <c r="F74" s="117">
        <f>SUM(G74:R74)</f>
        <v>9000</v>
      </c>
      <c r="G74" s="32">
        <v>75</v>
      </c>
      <c r="H74" s="32">
        <v>0</v>
      </c>
      <c r="I74" s="32">
        <f>492.41+94</f>
        <v>586.41000000000008</v>
      </c>
      <c r="J74" s="32">
        <v>0</v>
      </c>
      <c r="K74" s="32">
        <v>0</v>
      </c>
      <c r="L74" s="32">
        <v>0</v>
      </c>
      <c r="M74" s="32">
        <v>-990</v>
      </c>
      <c r="N74" s="32">
        <v>206.3</v>
      </c>
      <c r="O74" s="32">
        <v>1986.18</v>
      </c>
      <c r="P74" s="32">
        <v>2762.61</v>
      </c>
      <c r="Q74" s="32">
        <v>4305.67</v>
      </c>
      <c r="R74" s="33">
        <v>67.83</v>
      </c>
      <c r="S74" t="s">
        <v>263</v>
      </c>
    </row>
    <row r="75" spans="1:19" x14ac:dyDescent="0.25">
      <c r="A75" s="1">
        <v>691</v>
      </c>
      <c r="B75" s="8" t="s">
        <v>24</v>
      </c>
      <c r="C75" s="31" t="s">
        <v>31</v>
      </c>
      <c r="D75" s="49">
        <f t="shared" si="3"/>
        <v>1180.22</v>
      </c>
      <c r="E75" s="24">
        <v>1000</v>
      </c>
      <c r="F75" s="117">
        <f>SUM(G75:R75)</f>
        <v>1180.22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149.9</v>
      </c>
      <c r="P75" s="32">
        <v>0</v>
      </c>
      <c r="Q75" s="32">
        <v>1030.32</v>
      </c>
      <c r="R75" s="33">
        <v>0</v>
      </c>
    </row>
    <row r="76" spans="1:19" x14ac:dyDescent="0.25">
      <c r="A76" s="1">
        <v>691</v>
      </c>
      <c r="B76" s="8" t="s">
        <v>23</v>
      </c>
      <c r="C76" s="31" t="s">
        <v>32</v>
      </c>
      <c r="D76" s="49">
        <f t="shared" si="3"/>
        <v>119.33</v>
      </c>
      <c r="E76" s="24">
        <v>100</v>
      </c>
      <c r="F76" s="117">
        <f>SUM(G76:R76)</f>
        <v>119.33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119.33</v>
      </c>
      <c r="P76" s="32">
        <v>0</v>
      </c>
      <c r="Q76" s="32">
        <v>0</v>
      </c>
      <c r="R76" s="33">
        <v>0</v>
      </c>
    </row>
    <row r="77" spans="1:19" x14ac:dyDescent="0.25">
      <c r="A77" s="1">
        <v>691</v>
      </c>
      <c r="B77" s="8" t="s">
        <v>25</v>
      </c>
      <c r="C77" s="31" t="s">
        <v>33</v>
      </c>
      <c r="D77" s="49">
        <f t="shared" si="3"/>
        <v>0</v>
      </c>
      <c r="E77" s="25">
        <v>0</v>
      </c>
      <c r="F77" s="117">
        <f>SUM(G77:R77)</f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3">
        <v>0</v>
      </c>
    </row>
    <row r="78" spans="1:19" x14ac:dyDescent="0.25">
      <c r="A78" s="1">
        <v>691</v>
      </c>
      <c r="B78" s="8" t="s">
        <v>43</v>
      </c>
      <c r="C78" s="31" t="s">
        <v>129</v>
      </c>
      <c r="D78" s="49">
        <f t="shared" si="3"/>
        <v>0</v>
      </c>
      <c r="E78" s="25">
        <v>0</v>
      </c>
      <c r="F78" s="117">
        <f>SUM(G78:R78)</f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3">
        <v>0</v>
      </c>
    </row>
    <row r="79" spans="1:19" x14ac:dyDescent="0.25">
      <c r="A79" s="1">
        <v>691</v>
      </c>
      <c r="B79" s="8" t="s">
        <v>175</v>
      </c>
      <c r="C79" s="31" t="s">
        <v>174</v>
      </c>
      <c r="D79" s="49">
        <f t="shared" si="3"/>
        <v>124.95</v>
      </c>
      <c r="E79" s="24">
        <v>225</v>
      </c>
      <c r="F79" s="117">
        <f>SUM(G79:R79)</f>
        <v>225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124.95</v>
      </c>
      <c r="O79" s="32">
        <v>0</v>
      </c>
      <c r="P79" s="32">
        <v>0</v>
      </c>
      <c r="Q79" s="32">
        <v>0</v>
      </c>
      <c r="R79" s="33">
        <v>100.05</v>
      </c>
    </row>
    <row r="80" spans="1:19" x14ac:dyDescent="0.25">
      <c r="A80" s="1">
        <v>696</v>
      </c>
      <c r="C80" s="31" t="s">
        <v>34</v>
      </c>
      <c r="D80" s="49">
        <f t="shared" si="3"/>
        <v>0</v>
      </c>
      <c r="E80" s="25">
        <v>0</v>
      </c>
      <c r="F80" s="117">
        <f>SUM(G80:R80)</f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3">
        <v>0</v>
      </c>
    </row>
    <row r="81" spans="1:18" x14ac:dyDescent="0.25">
      <c r="A81" s="1">
        <v>711</v>
      </c>
      <c r="C81" s="31" t="s">
        <v>35</v>
      </c>
      <c r="D81" s="49">
        <f t="shared" si="3"/>
        <v>23990.949999999997</v>
      </c>
      <c r="E81" s="24">
        <v>25822</v>
      </c>
      <c r="F81" s="117">
        <f>SUM(G81:R81)</f>
        <v>25977.249999999996</v>
      </c>
      <c r="G81" s="32">
        <v>2141.65</v>
      </c>
      <c r="H81" s="32">
        <v>1986.3</v>
      </c>
      <c r="I81" s="32">
        <v>2979.45</v>
      </c>
      <c r="J81" s="32">
        <v>1986.3</v>
      </c>
      <c r="K81" s="32">
        <v>1986.3</v>
      </c>
      <c r="L81" s="32">
        <v>1986.3</v>
      </c>
      <c r="M81" s="32">
        <v>1986.3</v>
      </c>
      <c r="N81" s="32">
        <v>1986.3</v>
      </c>
      <c r="O81" s="32">
        <v>2979.45</v>
      </c>
      <c r="P81" s="32">
        <v>1986.3</v>
      </c>
      <c r="Q81" s="32">
        <v>1986.3</v>
      </c>
      <c r="R81" s="33">
        <v>1986.3</v>
      </c>
    </row>
    <row r="82" spans="1:18" x14ac:dyDescent="0.25">
      <c r="A82" s="1">
        <v>713</v>
      </c>
      <c r="C82" s="31" t="s">
        <v>36</v>
      </c>
      <c r="D82" s="49">
        <f t="shared" si="3"/>
        <v>0</v>
      </c>
      <c r="E82" s="24">
        <v>0</v>
      </c>
      <c r="F82" s="117">
        <f>SUM(G82:R82)</f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3">
        <v>0</v>
      </c>
    </row>
    <row r="83" spans="1:18" x14ac:dyDescent="0.25">
      <c r="A83" s="1">
        <v>715</v>
      </c>
      <c r="C83" s="31" t="s">
        <v>37</v>
      </c>
      <c r="D83" s="49">
        <f t="shared" si="3"/>
        <v>6500.9100000000008</v>
      </c>
      <c r="E83" s="24">
        <v>7500</v>
      </c>
      <c r="F83" s="117">
        <f>SUM(G83:R83)</f>
        <v>7098.5400000000009</v>
      </c>
      <c r="G83" s="32">
        <v>585.46</v>
      </c>
      <c r="H83" s="32">
        <v>585.46</v>
      </c>
      <c r="I83" s="32">
        <v>585.46</v>
      </c>
      <c r="J83" s="32">
        <v>585.46</v>
      </c>
      <c r="K83" s="32">
        <v>585.46</v>
      </c>
      <c r="L83" s="32">
        <v>585.46</v>
      </c>
      <c r="M83" s="32">
        <v>597.63</v>
      </c>
      <c r="N83" s="32">
        <v>597.63</v>
      </c>
      <c r="O83" s="32">
        <v>597.63</v>
      </c>
      <c r="P83" s="32">
        <v>597.63</v>
      </c>
      <c r="Q83" s="32">
        <v>597.63</v>
      </c>
      <c r="R83" s="33">
        <v>597.63</v>
      </c>
    </row>
    <row r="84" spans="1:18" x14ac:dyDescent="0.25">
      <c r="A84" s="1">
        <v>722</v>
      </c>
      <c r="C84" s="31" t="s">
        <v>200</v>
      </c>
      <c r="D84" s="49">
        <f t="shared" si="3"/>
        <v>0</v>
      </c>
      <c r="E84" s="24">
        <v>1325</v>
      </c>
      <c r="F84" s="117">
        <f>SUM(G84:R84)</f>
        <v>1325</v>
      </c>
      <c r="G84" s="32"/>
      <c r="H84" s="32"/>
      <c r="I84" s="32"/>
      <c r="J84" s="32"/>
      <c r="K84" s="32"/>
      <c r="L84" s="32"/>
      <c r="M84" s="32"/>
      <c r="N84" s="32"/>
      <c r="O84" s="32"/>
      <c r="P84" s="32">
        <v>0</v>
      </c>
      <c r="Q84" s="32">
        <v>0</v>
      </c>
      <c r="R84" s="33">
        <v>1325</v>
      </c>
    </row>
    <row r="85" spans="1:18" x14ac:dyDescent="0.25">
      <c r="A85" s="1">
        <v>722</v>
      </c>
      <c r="B85" s="8" t="s">
        <v>20</v>
      </c>
      <c r="C85" s="31" t="s">
        <v>38</v>
      </c>
      <c r="D85" s="49">
        <f t="shared" si="3"/>
        <v>1115.79</v>
      </c>
      <c r="E85" s="24">
        <v>1750</v>
      </c>
      <c r="F85" s="117">
        <f>SUM(G85:R85)</f>
        <v>1750</v>
      </c>
      <c r="G85" s="32">
        <v>56.36</v>
      </c>
      <c r="H85" s="69">
        <f>55.11-23</f>
        <v>32.11</v>
      </c>
      <c r="I85" s="32">
        <v>54.27</v>
      </c>
      <c r="J85" s="32">
        <v>152.41999999999999</v>
      </c>
      <c r="K85" s="32">
        <v>108.97</v>
      </c>
      <c r="L85" s="32">
        <v>34.119999999999997</v>
      </c>
      <c r="M85" s="32">
        <v>59.18</v>
      </c>
      <c r="N85" s="69">
        <v>153.76</v>
      </c>
      <c r="O85" s="32">
        <v>300.89</v>
      </c>
      <c r="P85" s="32">
        <v>0</v>
      </c>
      <c r="Q85" s="32">
        <v>163.71</v>
      </c>
      <c r="R85" s="33">
        <v>634.21</v>
      </c>
    </row>
    <row r="86" spans="1:18" x14ac:dyDescent="0.25">
      <c r="A86" s="1">
        <v>722</v>
      </c>
      <c r="B86" s="8" t="s">
        <v>21</v>
      </c>
      <c r="C86" s="31" t="s">
        <v>39</v>
      </c>
      <c r="D86" s="49">
        <f t="shared" si="3"/>
        <v>874.52</v>
      </c>
      <c r="E86" s="24">
        <v>800</v>
      </c>
      <c r="F86" s="117">
        <f>SUM(G86:R86)</f>
        <v>874.52</v>
      </c>
      <c r="G86" s="32">
        <v>-25</v>
      </c>
      <c r="H86" s="32">
        <v>797.61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9">
        <v>0</v>
      </c>
      <c r="O86" s="32">
        <v>0</v>
      </c>
      <c r="P86" s="32">
        <v>0</v>
      </c>
      <c r="Q86" s="32">
        <v>101.91</v>
      </c>
      <c r="R86" s="33">
        <v>0</v>
      </c>
    </row>
    <row r="87" spans="1:18" x14ac:dyDescent="0.25">
      <c r="A87" s="1">
        <v>723</v>
      </c>
      <c r="B87" s="8" t="s">
        <v>20</v>
      </c>
      <c r="C87" s="31" t="s">
        <v>40</v>
      </c>
      <c r="D87" s="49">
        <f t="shared" si="3"/>
        <v>67.850000000000009</v>
      </c>
      <c r="E87" s="24">
        <v>0</v>
      </c>
      <c r="F87" s="117">
        <f>SUM(G87:R87)</f>
        <v>67.850000000000009</v>
      </c>
      <c r="G87" s="32">
        <v>0</v>
      </c>
      <c r="H87" s="32">
        <v>6.45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9">
        <v>0</v>
      </c>
      <c r="O87" s="32">
        <v>48.75</v>
      </c>
      <c r="P87" s="32">
        <v>0</v>
      </c>
      <c r="Q87" s="32">
        <v>12.65</v>
      </c>
      <c r="R87" s="33">
        <v>0</v>
      </c>
    </row>
    <row r="88" spans="1:18" x14ac:dyDescent="0.25">
      <c r="A88" s="1">
        <v>723</v>
      </c>
      <c r="B88" s="8" t="s">
        <v>21</v>
      </c>
      <c r="C88" s="31" t="s">
        <v>201</v>
      </c>
      <c r="D88" s="49">
        <f t="shared" si="3"/>
        <v>1893</v>
      </c>
      <c r="E88" s="24">
        <v>3000</v>
      </c>
      <c r="F88" s="117">
        <f>SUM(G88:R88)</f>
        <v>2100</v>
      </c>
      <c r="G88" s="32">
        <v>222</v>
      </c>
      <c r="H88" s="32">
        <v>0</v>
      </c>
      <c r="I88" s="32">
        <v>0</v>
      </c>
      <c r="J88" s="32">
        <v>1227</v>
      </c>
      <c r="K88" s="32">
        <v>0</v>
      </c>
      <c r="L88" s="32">
        <v>0</v>
      </c>
      <c r="M88" s="32">
        <v>222</v>
      </c>
      <c r="N88" s="32">
        <v>0</v>
      </c>
      <c r="O88" s="32">
        <v>0</v>
      </c>
      <c r="P88" s="32">
        <v>222</v>
      </c>
      <c r="Q88" s="32">
        <v>0</v>
      </c>
      <c r="R88" s="33">
        <v>207</v>
      </c>
    </row>
    <row r="89" spans="1:18" x14ac:dyDescent="0.25">
      <c r="A89" s="1">
        <v>724</v>
      </c>
      <c r="B89" s="8" t="s">
        <v>20</v>
      </c>
      <c r="C89" s="31" t="s">
        <v>41</v>
      </c>
      <c r="D89" s="49">
        <f t="shared" si="3"/>
        <v>1355.54</v>
      </c>
      <c r="E89" s="24">
        <f>125*12</f>
        <v>1500</v>
      </c>
      <c r="F89" s="117">
        <f>SUM(G89:R89)</f>
        <v>1500</v>
      </c>
      <c r="G89" s="32">
        <v>129.72</v>
      </c>
      <c r="H89" s="32">
        <v>128.47</v>
      </c>
      <c r="I89" s="32">
        <v>0</v>
      </c>
      <c r="J89" s="32">
        <v>199.4</v>
      </c>
      <c r="K89" s="32">
        <v>127.3</v>
      </c>
      <c r="L89" s="32">
        <v>127.09</v>
      </c>
      <c r="M89" s="32">
        <v>0</v>
      </c>
      <c r="N89" s="69">
        <v>256.8</v>
      </c>
      <c r="O89" s="32">
        <v>127.81</v>
      </c>
      <c r="P89" s="32">
        <v>0</v>
      </c>
      <c r="Q89" s="32">
        <v>258.95</v>
      </c>
      <c r="R89" s="33">
        <v>144.46</v>
      </c>
    </row>
    <row r="90" spans="1:18" x14ac:dyDescent="0.25">
      <c r="A90" s="1">
        <v>724</v>
      </c>
      <c r="B90" s="8" t="s">
        <v>21</v>
      </c>
      <c r="C90" s="31" t="s">
        <v>42</v>
      </c>
      <c r="D90" s="49">
        <f t="shared" si="3"/>
        <v>0</v>
      </c>
      <c r="E90" s="25">
        <v>0</v>
      </c>
      <c r="F90" s="117">
        <f>SUM(G90:R90)</f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3">
        <v>0</v>
      </c>
    </row>
    <row r="91" spans="1:18" x14ac:dyDescent="0.25">
      <c r="A91" s="1">
        <v>724</v>
      </c>
      <c r="B91" s="8" t="s">
        <v>24</v>
      </c>
      <c r="C91" s="31" t="s">
        <v>96</v>
      </c>
      <c r="D91" s="49">
        <f t="shared" si="3"/>
        <v>851.9</v>
      </c>
      <c r="E91" s="24">
        <v>804</v>
      </c>
      <c r="F91" s="117">
        <f>SUM(G91:R91)</f>
        <v>851.9</v>
      </c>
      <c r="G91" s="32">
        <v>70</v>
      </c>
      <c r="H91" s="32">
        <v>237</v>
      </c>
      <c r="I91" s="32">
        <v>72.86</v>
      </c>
      <c r="J91" s="32">
        <v>0</v>
      </c>
      <c r="K91" s="32">
        <v>46.16</v>
      </c>
      <c r="L91" s="32">
        <v>67</v>
      </c>
      <c r="M91" s="32">
        <v>67</v>
      </c>
      <c r="N91" s="32">
        <v>67</v>
      </c>
      <c r="O91" s="32">
        <v>67</v>
      </c>
      <c r="P91" s="32">
        <v>67</v>
      </c>
      <c r="Q91" s="32">
        <v>90.88</v>
      </c>
      <c r="R91" s="33">
        <v>0</v>
      </c>
    </row>
    <row r="92" spans="1:18" x14ac:dyDescent="0.25">
      <c r="A92" s="1">
        <v>725</v>
      </c>
      <c r="B92" s="8" t="s">
        <v>20</v>
      </c>
      <c r="C92" s="31" t="s">
        <v>44</v>
      </c>
      <c r="D92" s="49">
        <f t="shared" si="3"/>
        <v>-20</v>
      </c>
      <c r="E92" s="24">
        <v>2000</v>
      </c>
      <c r="F92" s="117">
        <f>SUM(G92:R92)</f>
        <v>2000</v>
      </c>
      <c r="G92" s="32">
        <v>0</v>
      </c>
      <c r="H92" s="32">
        <v>-20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3">
        <v>2020</v>
      </c>
    </row>
    <row r="93" spans="1:18" x14ac:dyDescent="0.25">
      <c r="A93" s="1">
        <v>725</v>
      </c>
      <c r="B93" s="8" t="s">
        <v>21</v>
      </c>
      <c r="C93" s="31" t="s">
        <v>45</v>
      </c>
      <c r="D93" s="49">
        <f t="shared" si="3"/>
        <v>0</v>
      </c>
      <c r="E93" s="24">
        <v>600</v>
      </c>
      <c r="F93" s="117">
        <f>SUM(G93:R93)</f>
        <v>600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3">
        <v>600</v>
      </c>
    </row>
    <row r="94" spans="1:18" x14ac:dyDescent="0.25">
      <c r="A94" s="1">
        <v>725</v>
      </c>
      <c r="B94" s="8" t="s">
        <v>24</v>
      </c>
      <c r="C94" s="31" t="s">
        <v>46</v>
      </c>
      <c r="D94" s="49">
        <f t="shared" si="3"/>
        <v>800</v>
      </c>
      <c r="E94" s="24">
        <v>800</v>
      </c>
      <c r="F94" s="117">
        <f>SUM(G94:R94)</f>
        <v>800</v>
      </c>
      <c r="G94" s="32">
        <v>0</v>
      </c>
      <c r="H94" s="32">
        <v>0</v>
      </c>
      <c r="I94" s="32">
        <v>800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3">
        <v>0</v>
      </c>
    </row>
    <row r="95" spans="1:18" x14ac:dyDescent="0.25">
      <c r="A95" s="1">
        <v>725</v>
      </c>
      <c r="B95" s="8" t="s">
        <v>23</v>
      </c>
      <c r="C95" s="31" t="s">
        <v>47</v>
      </c>
      <c r="D95" s="49">
        <f t="shared" si="3"/>
        <v>25</v>
      </c>
      <c r="E95" s="24">
        <v>1000</v>
      </c>
      <c r="F95" s="117">
        <f>SUM(G95:R95)</f>
        <v>1000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25</v>
      </c>
      <c r="Q95" s="32">
        <v>0</v>
      </c>
      <c r="R95" s="33">
        <v>975</v>
      </c>
    </row>
    <row r="96" spans="1:18" x14ac:dyDescent="0.25">
      <c r="A96" s="1">
        <v>725</v>
      </c>
      <c r="B96" s="8" t="s">
        <v>25</v>
      </c>
      <c r="C96" s="31" t="s">
        <v>48</v>
      </c>
      <c r="D96" s="49">
        <f t="shared" si="3"/>
        <v>1249.4599999999998</v>
      </c>
      <c r="E96" s="24">
        <v>1500</v>
      </c>
      <c r="F96" s="117">
        <f>SUM(G96:R96)</f>
        <v>1499.9999999999998</v>
      </c>
      <c r="G96" s="32">
        <v>0</v>
      </c>
      <c r="H96" s="32">
        <v>621.52</v>
      </c>
      <c r="I96" s="32">
        <v>0</v>
      </c>
      <c r="J96" s="32">
        <v>20.66</v>
      </c>
      <c r="K96" s="32">
        <v>0</v>
      </c>
      <c r="L96" s="32">
        <v>28.5</v>
      </c>
      <c r="M96" s="32">
        <v>0</v>
      </c>
      <c r="N96" s="32">
        <v>119.71</v>
      </c>
      <c r="O96" s="32">
        <v>197.92</v>
      </c>
      <c r="P96" s="32">
        <v>7.18</v>
      </c>
      <c r="Q96" s="32">
        <v>253.97</v>
      </c>
      <c r="R96" s="33">
        <v>250.54</v>
      </c>
    </row>
    <row r="97" spans="1:18" x14ac:dyDescent="0.25">
      <c r="A97" s="1">
        <v>725</v>
      </c>
      <c r="B97" s="8" t="s">
        <v>43</v>
      </c>
      <c r="C97" s="31" t="s">
        <v>49</v>
      </c>
      <c r="D97" s="49">
        <f t="shared" ref="D97:D128" si="4">SUM(G97:Q97)</f>
        <v>637.04</v>
      </c>
      <c r="E97" s="24">
        <v>750</v>
      </c>
      <c r="F97" s="117">
        <f>SUM(G97:R97)</f>
        <v>750</v>
      </c>
      <c r="G97" s="32">
        <v>0</v>
      </c>
      <c r="H97" s="32">
        <v>0</v>
      </c>
      <c r="I97" s="32">
        <v>0</v>
      </c>
      <c r="J97" s="32">
        <v>5</v>
      </c>
      <c r="K97" s="32">
        <v>0</v>
      </c>
      <c r="L97" s="32">
        <v>612.04</v>
      </c>
      <c r="M97" s="32">
        <v>0</v>
      </c>
      <c r="N97" s="32">
        <v>0</v>
      </c>
      <c r="O97" s="32">
        <v>0</v>
      </c>
      <c r="P97" s="32">
        <v>0</v>
      </c>
      <c r="Q97" s="32">
        <v>20</v>
      </c>
      <c r="R97" s="33">
        <v>112.96</v>
      </c>
    </row>
    <row r="98" spans="1:18" x14ac:dyDescent="0.25">
      <c r="A98" s="1">
        <v>725</v>
      </c>
      <c r="B98" s="8" t="s">
        <v>22</v>
      </c>
      <c r="C98" s="31" t="s">
        <v>172</v>
      </c>
      <c r="D98" s="49">
        <f t="shared" si="4"/>
        <v>217.72000000000003</v>
      </c>
      <c r="E98" s="24">
        <v>2800</v>
      </c>
      <c r="F98" s="117">
        <f>SUM(G98:R98)</f>
        <v>2800</v>
      </c>
      <c r="G98" s="32">
        <v>575</v>
      </c>
      <c r="H98" s="69">
        <f>-1.95-375</f>
        <v>-376.95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19.670000000000002</v>
      </c>
      <c r="O98" s="32">
        <v>0</v>
      </c>
      <c r="P98" s="32">
        <v>0</v>
      </c>
      <c r="Q98" s="32">
        <v>0</v>
      </c>
      <c r="R98" s="33">
        <v>2582.2800000000002</v>
      </c>
    </row>
    <row r="99" spans="1:18" x14ac:dyDescent="0.25">
      <c r="A99" s="1">
        <v>725</v>
      </c>
      <c r="B99" s="8" t="s">
        <v>219</v>
      </c>
      <c r="C99" s="31" t="s">
        <v>202</v>
      </c>
      <c r="D99" s="49">
        <f t="shared" si="4"/>
        <v>309.89999999999998</v>
      </c>
      <c r="E99" s="24">
        <v>500</v>
      </c>
      <c r="F99" s="117">
        <f>SUM(G99:R99)</f>
        <v>500</v>
      </c>
      <c r="G99" s="32">
        <v>0</v>
      </c>
      <c r="H99" s="32">
        <v>54.63</v>
      </c>
      <c r="I99" s="32">
        <v>21.25</v>
      </c>
      <c r="J99" s="32">
        <v>21.25</v>
      </c>
      <c r="K99" s="32">
        <v>38.75</v>
      </c>
      <c r="L99" s="32">
        <v>38.75</v>
      </c>
      <c r="M99" s="32">
        <v>34.770000000000003</v>
      </c>
      <c r="N99" s="69">
        <v>43.68</v>
      </c>
      <c r="O99" s="32">
        <v>33.42</v>
      </c>
      <c r="P99" s="32">
        <v>23.4</v>
      </c>
      <c r="Q99" s="32">
        <v>0</v>
      </c>
      <c r="R99" s="33">
        <v>190.1</v>
      </c>
    </row>
    <row r="100" spans="1:18" x14ac:dyDescent="0.25">
      <c r="A100" s="1">
        <v>725</v>
      </c>
      <c r="B100" s="8"/>
      <c r="C100" s="31" t="s">
        <v>211</v>
      </c>
      <c r="D100" s="49">
        <f t="shared" si="4"/>
        <v>0</v>
      </c>
      <c r="E100" s="24">
        <v>0</v>
      </c>
      <c r="F100" s="117">
        <f>SUM(G100:R100)</f>
        <v>0</v>
      </c>
      <c r="G100" s="32">
        <v>0</v>
      </c>
      <c r="H100" s="32">
        <v>0</v>
      </c>
      <c r="I100" s="32">
        <v>0</v>
      </c>
      <c r="J100" s="32">
        <v>0</v>
      </c>
      <c r="K100" s="32"/>
      <c r="L100" s="32">
        <v>0</v>
      </c>
      <c r="M100" s="32">
        <v>0</v>
      </c>
      <c r="N100" s="69">
        <v>0</v>
      </c>
      <c r="O100" s="32">
        <v>0</v>
      </c>
      <c r="P100" s="32">
        <v>0</v>
      </c>
      <c r="Q100" s="32"/>
      <c r="R100" s="33">
        <v>0</v>
      </c>
    </row>
    <row r="101" spans="1:18" x14ac:dyDescent="0.25">
      <c r="A101" s="1">
        <v>726</v>
      </c>
      <c r="C101" s="31" t="s">
        <v>50</v>
      </c>
      <c r="D101" s="49">
        <f t="shared" si="4"/>
        <v>4085</v>
      </c>
      <c r="E101" s="24">
        <v>4000</v>
      </c>
      <c r="F101" s="117">
        <f>SUM(G101:R101)</f>
        <v>4085</v>
      </c>
      <c r="G101" s="32">
        <v>0</v>
      </c>
      <c r="H101" s="32">
        <v>0</v>
      </c>
      <c r="I101" s="32">
        <v>0</v>
      </c>
      <c r="J101" s="32">
        <v>0</v>
      </c>
      <c r="K101" s="32">
        <v>4085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3">
        <v>0</v>
      </c>
    </row>
    <row r="102" spans="1:18" x14ac:dyDescent="0.25">
      <c r="A102" s="1">
        <v>727</v>
      </c>
      <c r="C102" s="31" t="s">
        <v>51</v>
      </c>
      <c r="D102" s="49">
        <f t="shared" si="4"/>
        <v>5630.1800000000012</v>
      </c>
      <c r="E102" s="24">
        <f>ROUND(79822*0.0765,2)</f>
        <v>6106.38</v>
      </c>
      <c r="F102" s="117">
        <f>SUM(G102:R102)</f>
        <v>6105.1800000000012</v>
      </c>
      <c r="G102" s="32">
        <v>458.07</v>
      </c>
      <c r="H102" s="32">
        <f>446.18</f>
        <v>446.18</v>
      </c>
      <c r="I102" s="32">
        <f>669.28</f>
        <v>669.28</v>
      </c>
      <c r="J102" s="32">
        <v>511.04</v>
      </c>
      <c r="K102" s="32">
        <v>506.89</v>
      </c>
      <c r="L102" s="32">
        <v>481.36</v>
      </c>
      <c r="M102" s="32">
        <v>472.3</v>
      </c>
      <c r="N102" s="32">
        <v>456.73</v>
      </c>
      <c r="O102" s="32">
        <v>669.27</v>
      </c>
      <c r="P102" s="50">
        <f>446.18+0.09</f>
        <v>446.27</v>
      </c>
      <c r="Q102" s="32">
        <v>512.79</v>
      </c>
      <c r="R102" s="33">
        <v>475</v>
      </c>
    </row>
    <row r="103" spans="1:18" x14ac:dyDescent="0.25">
      <c r="A103" s="1">
        <v>728</v>
      </c>
      <c r="C103" s="31" t="s">
        <v>212</v>
      </c>
      <c r="D103" s="49">
        <f t="shared" si="4"/>
        <v>0</v>
      </c>
      <c r="E103" s="24">
        <v>2000</v>
      </c>
      <c r="F103" s="117">
        <f>SUM(G103:R103)</f>
        <v>2000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>
        <v>2000</v>
      </c>
    </row>
    <row r="104" spans="1:18" x14ac:dyDescent="0.25">
      <c r="A104" s="1">
        <v>729</v>
      </c>
      <c r="C104" s="31" t="s">
        <v>52</v>
      </c>
      <c r="D104" s="49">
        <f t="shared" si="4"/>
        <v>40</v>
      </c>
      <c r="E104" s="24">
        <v>300</v>
      </c>
      <c r="F104" s="117">
        <f>SUM(G104:R104)</f>
        <v>300</v>
      </c>
      <c r="G104" s="32">
        <v>0</v>
      </c>
      <c r="H104" s="32">
        <v>0</v>
      </c>
      <c r="I104" s="32">
        <v>40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3">
        <v>260</v>
      </c>
    </row>
    <row r="105" spans="1:18" x14ac:dyDescent="0.25">
      <c r="A105" s="1">
        <v>730</v>
      </c>
      <c r="B105" s="8" t="s">
        <v>20</v>
      </c>
      <c r="C105" s="31" t="s">
        <v>53</v>
      </c>
      <c r="D105" s="49">
        <f t="shared" si="4"/>
        <v>2493.92</v>
      </c>
      <c r="E105" s="24">
        <v>2500</v>
      </c>
      <c r="F105" s="117">
        <f>SUM(G105:R105)</f>
        <v>2500</v>
      </c>
      <c r="G105" s="32">
        <v>172.37</v>
      </c>
      <c r="H105" s="32">
        <v>214.41</v>
      </c>
      <c r="I105" s="32">
        <v>293.69</v>
      </c>
      <c r="J105" s="32">
        <v>307.42</v>
      </c>
      <c r="K105" s="32">
        <v>279.31</v>
      </c>
      <c r="L105" s="69">
        <v>277.58999999999997</v>
      </c>
      <c r="M105" s="69">
        <v>0</v>
      </c>
      <c r="N105" s="69">
        <v>413.58</v>
      </c>
      <c r="O105" s="69">
        <v>185.58</v>
      </c>
      <c r="P105" s="69">
        <v>0</v>
      </c>
      <c r="Q105" s="69">
        <v>349.97</v>
      </c>
      <c r="R105" s="86">
        <v>6.08</v>
      </c>
    </row>
    <row r="106" spans="1:18" x14ac:dyDescent="0.25">
      <c r="A106" s="1">
        <v>730</v>
      </c>
      <c r="B106" s="8" t="s">
        <v>21</v>
      </c>
      <c r="C106" s="31" t="s">
        <v>54</v>
      </c>
      <c r="D106" s="49">
        <f t="shared" si="4"/>
        <v>67.41</v>
      </c>
      <c r="E106" s="24">
        <v>120</v>
      </c>
      <c r="F106" s="117">
        <f>SUM(G106:R106)</f>
        <v>100</v>
      </c>
      <c r="G106" s="32">
        <v>21.1</v>
      </c>
      <c r="H106" s="69">
        <f>0-21.1</f>
        <v>-21.1</v>
      </c>
      <c r="I106" s="32">
        <v>0</v>
      </c>
      <c r="J106" s="32">
        <v>22.47</v>
      </c>
      <c r="K106" s="32">
        <v>0</v>
      </c>
      <c r="L106" s="69">
        <v>0</v>
      </c>
      <c r="M106" s="69">
        <v>22.47</v>
      </c>
      <c r="N106" s="69">
        <v>0</v>
      </c>
      <c r="O106" s="69">
        <v>0</v>
      </c>
      <c r="P106" s="69">
        <v>22.47</v>
      </c>
      <c r="Q106" s="69">
        <v>0</v>
      </c>
      <c r="R106" s="86">
        <v>32.590000000000003</v>
      </c>
    </row>
    <row r="107" spans="1:18" x14ac:dyDescent="0.25">
      <c r="A107" s="1">
        <v>730</v>
      </c>
      <c r="B107" s="8" t="s">
        <v>24</v>
      </c>
      <c r="C107" s="31" t="s">
        <v>55</v>
      </c>
      <c r="D107" s="49">
        <f t="shared" si="4"/>
        <v>0</v>
      </c>
      <c r="E107" s="24">
        <v>0</v>
      </c>
      <c r="F107" s="117">
        <f>SUM(G107:R107)</f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3">
        <v>0</v>
      </c>
    </row>
    <row r="108" spans="1:18" x14ac:dyDescent="0.25">
      <c r="A108" s="1">
        <v>731</v>
      </c>
      <c r="B108" s="8" t="s">
        <v>20</v>
      </c>
      <c r="C108" s="31" t="s">
        <v>56</v>
      </c>
      <c r="D108" s="49">
        <f t="shared" si="4"/>
        <v>9432.5</v>
      </c>
      <c r="E108" s="24">
        <v>9500</v>
      </c>
      <c r="F108" s="117">
        <f>SUM(G108:R108)</f>
        <v>9500</v>
      </c>
      <c r="G108" s="32">
        <v>1600</v>
      </c>
      <c r="H108" s="32">
        <v>35</v>
      </c>
      <c r="I108" s="32">
        <v>1600</v>
      </c>
      <c r="J108" s="32">
        <v>35</v>
      </c>
      <c r="K108" s="32">
        <v>1617.5</v>
      </c>
      <c r="L108" s="32">
        <v>17.5</v>
      </c>
      <c r="M108" s="32">
        <v>1600</v>
      </c>
      <c r="N108" s="32">
        <v>17.5</v>
      </c>
      <c r="O108" s="32">
        <v>1275</v>
      </c>
      <c r="P108" s="32">
        <v>0</v>
      </c>
      <c r="Q108" s="32">
        <v>1635</v>
      </c>
      <c r="R108" s="33">
        <v>67.5</v>
      </c>
    </row>
    <row r="109" spans="1:18" x14ac:dyDescent="0.25">
      <c r="A109" s="1">
        <v>743</v>
      </c>
      <c r="B109" s="8" t="s">
        <v>20</v>
      </c>
      <c r="C109" s="31" t="s">
        <v>57</v>
      </c>
      <c r="D109" s="49">
        <f t="shared" si="4"/>
        <v>200.33</v>
      </c>
      <c r="E109" s="24">
        <v>500</v>
      </c>
      <c r="F109" s="117">
        <f>SUM(G109:R109)</f>
        <v>500</v>
      </c>
      <c r="G109" s="32">
        <v>0</v>
      </c>
      <c r="H109" s="32">
        <v>0</v>
      </c>
      <c r="I109" s="32">
        <v>0</v>
      </c>
      <c r="J109" s="32">
        <v>0</v>
      </c>
      <c r="K109" s="32">
        <v>41.4</v>
      </c>
      <c r="L109" s="32">
        <v>0</v>
      </c>
      <c r="M109" s="32">
        <v>0</v>
      </c>
      <c r="N109" s="69">
        <v>158.93</v>
      </c>
      <c r="O109" s="32">
        <v>0</v>
      </c>
      <c r="P109" s="32">
        <v>0</v>
      </c>
      <c r="Q109" s="32">
        <v>0</v>
      </c>
      <c r="R109" s="33">
        <v>299.67</v>
      </c>
    </row>
    <row r="110" spans="1:18" x14ac:dyDescent="0.25">
      <c r="A110" s="1">
        <v>743</v>
      </c>
      <c r="B110" s="8" t="s">
        <v>21</v>
      </c>
      <c r="C110" s="31" t="s">
        <v>58</v>
      </c>
      <c r="D110" s="49">
        <f t="shared" si="4"/>
        <v>423.96000000000004</v>
      </c>
      <c r="E110" s="24">
        <v>500</v>
      </c>
      <c r="F110" s="117">
        <f>SUM(G110:R110)</f>
        <v>500.00000000000006</v>
      </c>
      <c r="G110" s="32">
        <v>0</v>
      </c>
      <c r="H110" s="32">
        <v>0</v>
      </c>
      <c r="I110" s="32">
        <v>0</v>
      </c>
      <c r="J110" s="32">
        <v>279.08999999999997</v>
      </c>
      <c r="K110" s="32">
        <v>77.55</v>
      </c>
      <c r="L110" s="32">
        <v>0</v>
      </c>
      <c r="M110" s="32">
        <v>0</v>
      </c>
      <c r="N110" s="32">
        <v>39.6</v>
      </c>
      <c r="O110" s="32">
        <v>27.72</v>
      </c>
      <c r="P110" s="32">
        <v>0</v>
      </c>
      <c r="Q110" s="32">
        <v>0</v>
      </c>
      <c r="R110" s="33">
        <v>76.040000000000006</v>
      </c>
    </row>
    <row r="111" spans="1:18" x14ac:dyDescent="0.25">
      <c r="A111" s="1">
        <v>743</v>
      </c>
      <c r="B111" s="8" t="s">
        <v>24</v>
      </c>
      <c r="C111" s="31" t="s">
        <v>59</v>
      </c>
      <c r="D111" s="49">
        <f t="shared" si="4"/>
        <v>350.43999999999994</v>
      </c>
      <c r="E111" s="24">
        <v>500</v>
      </c>
      <c r="F111" s="117">
        <f>SUM(G111:R111)</f>
        <v>499.99999999999994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127.6</v>
      </c>
      <c r="O111" s="32">
        <v>181.44</v>
      </c>
      <c r="P111" s="32">
        <v>0</v>
      </c>
      <c r="Q111" s="32">
        <v>41.4</v>
      </c>
      <c r="R111" s="33">
        <v>149.56</v>
      </c>
    </row>
    <row r="112" spans="1:18" x14ac:dyDescent="0.25">
      <c r="A112" s="1">
        <v>743</v>
      </c>
      <c r="B112" s="8" t="s">
        <v>23</v>
      </c>
      <c r="C112" s="31" t="s">
        <v>60</v>
      </c>
      <c r="D112" s="49">
        <f t="shared" si="4"/>
        <v>0</v>
      </c>
      <c r="E112" s="25">
        <f>0</f>
        <v>0</v>
      </c>
      <c r="F112" s="117">
        <f>SUM(G112:R112)</f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3">
        <v>0</v>
      </c>
    </row>
    <row r="113" spans="1:18" x14ac:dyDescent="0.25">
      <c r="A113" s="1">
        <v>751</v>
      </c>
      <c r="B113" s="8" t="s">
        <v>20</v>
      </c>
      <c r="C113" s="31" t="s">
        <v>114</v>
      </c>
      <c r="D113" s="49">
        <f t="shared" si="4"/>
        <v>0</v>
      </c>
      <c r="E113" s="25">
        <v>0</v>
      </c>
      <c r="F113" s="117">
        <f>SUM(G113:R113)</f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/>
      <c r="Q113" s="32">
        <v>0</v>
      </c>
      <c r="R113" s="33">
        <v>0</v>
      </c>
    </row>
    <row r="114" spans="1:18" x14ac:dyDescent="0.25">
      <c r="A114" s="1">
        <v>751</v>
      </c>
      <c r="B114" s="8" t="s">
        <v>21</v>
      </c>
      <c r="C114" s="31" t="s">
        <v>61</v>
      </c>
      <c r="D114" s="49">
        <f t="shared" si="4"/>
        <v>3477.59</v>
      </c>
      <c r="E114" s="24">
        <v>4000</v>
      </c>
      <c r="F114" s="117">
        <f>SUM(G114:R114)</f>
        <v>4000</v>
      </c>
      <c r="G114" s="32">
        <v>0</v>
      </c>
      <c r="H114" s="32">
        <v>161.54</v>
      </c>
      <c r="I114" s="32">
        <v>0</v>
      </c>
      <c r="J114" s="32">
        <v>390.74</v>
      </c>
      <c r="K114" s="32">
        <v>0</v>
      </c>
      <c r="L114" s="32">
        <v>0</v>
      </c>
      <c r="M114" s="32">
        <v>0</v>
      </c>
      <c r="N114" s="32">
        <v>-210</v>
      </c>
      <c r="O114" s="32">
        <v>3135.31</v>
      </c>
      <c r="P114" s="32">
        <v>0</v>
      </c>
      <c r="Q114" s="32">
        <v>0</v>
      </c>
      <c r="R114" s="33">
        <v>522.41</v>
      </c>
    </row>
    <row r="115" spans="1:18" x14ac:dyDescent="0.25">
      <c r="A115" s="1">
        <v>760</v>
      </c>
      <c r="B115" s="8"/>
      <c r="C115" s="31" t="s">
        <v>1</v>
      </c>
      <c r="D115" s="49">
        <f t="shared" si="4"/>
        <v>0</v>
      </c>
      <c r="E115" s="25">
        <v>0</v>
      </c>
      <c r="F115" s="117">
        <f>SUM(G115:R115)</f>
        <v>0</v>
      </c>
      <c r="G115" s="32">
        <v>0</v>
      </c>
      <c r="H115" s="50">
        <f>134-134</f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3">
        <v>0</v>
      </c>
    </row>
    <row r="116" spans="1:18" x14ac:dyDescent="0.25">
      <c r="A116" s="1">
        <v>761</v>
      </c>
      <c r="B116" s="8">
        <v>1</v>
      </c>
      <c r="C116" s="31" t="s">
        <v>112</v>
      </c>
      <c r="D116" s="49">
        <f t="shared" si="4"/>
        <v>671.49</v>
      </c>
      <c r="E116" s="113">
        <f>1250-250</f>
        <v>1000</v>
      </c>
      <c r="F116" s="117">
        <f>SUM(G116:R116)</f>
        <v>700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671.49</v>
      </c>
      <c r="P116" s="32">
        <v>0</v>
      </c>
      <c r="Q116" s="32">
        <v>0</v>
      </c>
      <c r="R116" s="33">
        <v>28.51</v>
      </c>
    </row>
    <row r="117" spans="1:18" x14ac:dyDescent="0.25">
      <c r="A117" s="1">
        <v>761</v>
      </c>
      <c r="B117" s="8">
        <v>2</v>
      </c>
      <c r="C117" s="31" t="s">
        <v>258</v>
      </c>
      <c r="D117" s="49">
        <f t="shared" si="4"/>
        <v>11.15</v>
      </c>
      <c r="E117" s="113">
        <v>0</v>
      </c>
      <c r="F117" s="117">
        <f>SUM(G117:R117)</f>
        <v>15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11.15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3">
        <v>3.85</v>
      </c>
    </row>
    <row r="118" spans="1:18" x14ac:dyDescent="0.25">
      <c r="A118" s="1">
        <v>761</v>
      </c>
      <c r="B118" s="8">
        <v>3</v>
      </c>
      <c r="C118" s="31" t="s">
        <v>182</v>
      </c>
      <c r="D118" s="49">
        <f t="shared" si="4"/>
        <v>0</v>
      </c>
      <c r="E118" s="113">
        <f>1000-250</f>
        <v>750</v>
      </c>
      <c r="F118" s="117">
        <f>SUM(G118:R118)</f>
        <v>100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3">
        <v>100</v>
      </c>
    </row>
    <row r="119" spans="1:18" x14ac:dyDescent="0.25">
      <c r="A119" s="1">
        <v>761</v>
      </c>
      <c r="B119" s="8">
        <v>5</v>
      </c>
      <c r="C119" s="31" t="s">
        <v>193</v>
      </c>
      <c r="D119" s="49">
        <f t="shared" si="4"/>
        <v>0</v>
      </c>
      <c r="E119" s="113">
        <f>1000-250</f>
        <v>750</v>
      </c>
      <c r="F119" s="117">
        <f>SUM(G119:R119)</f>
        <v>100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3">
        <v>100</v>
      </c>
    </row>
    <row r="120" spans="1:18" x14ac:dyDescent="0.25">
      <c r="A120" s="1">
        <v>761</v>
      </c>
      <c r="B120" s="8">
        <v>6</v>
      </c>
      <c r="C120" s="31" t="s">
        <v>194</v>
      </c>
      <c r="D120" s="49">
        <f t="shared" si="4"/>
        <v>0</v>
      </c>
      <c r="E120" s="113">
        <f>1000-250</f>
        <v>750</v>
      </c>
      <c r="F120" s="117">
        <f>SUM(G120:R120)</f>
        <v>100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3">
        <v>100</v>
      </c>
    </row>
    <row r="121" spans="1:18" x14ac:dyDescent="0.25">
      <c r="A121" s="1">
        <v>761</v>
      </c>
      <c r="B121" s="8">
        <v>7</v>
      </c>
      <c r="C121" s="31" t="s">
        <v>195</v>
      </c>
      <c r="D121" s="49">
        <f t="shared" si="4"/>
        <v>0</v>
      </c>
      <c r="E121" s="113">
        <v>500</v>
      </c>
      <c r="F121" s="117">
        <f>SUM(G121:R121)</f>
        <v>100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3">
        <v>100</v>
      </c>
    </row>
    <row r="122" spans="1:18" x14ac:dyDescent="0.25">
      <c r="A122" s="1">
        <v>762</v>
      </c>
      <c r="C122" s="31" t="s">
        <v>62</v>
      </c>
      <c r="D122" s="49">
        <f t="shared" si="4"/>
        <v>526.84</v>
      </c>
      <c r="E122" s="24">
        <v>600</v>
      </c>
      <c r="F122" s="117">
        <f>SUM(G122:R122)</f>
        <v>600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526.84</v>
      </c>
      <c r="P122" s="32">
        <v>0</v>
      </c>
      <c r="Q122" s="32">
        <v>0</v>
      </c>
      <c r="R122" s="33">
        <v>73.16</v>
      </c>
    </row>
    <row r="123" spans="1:18" x14ac:dyDescent="0.25">
      <c r="A123" s="1">
        <v>767</v>
      </c>
      <c r="C123" s="31" t="s">
        <v>63</v>
      </c>
      <c r="D123" s="49">
        <f t="shared" si="4"/>
        <v>6354.92</v>
      </c>
      <c r="E123" s="24">
        <v>6700</v>
      </c>
      <c r="F123" s="117">
        <f>SUM(G123:R123)</f>
        <v>6354.92</v>
      </c>
      <c r="G123" s="32">
        <v>0</v>
      </c>
      <c r="H123" s="32">
        <v>0</v>
      </c>
      <c r="I123" s="32">
        <v>1075.82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5279.1</v>
      </c>
      <c r="R123" s="33">
        <v>0</v>
      </c>
    </row>
    <row r="124" spans="1:18" x14ac:dyDescent="0.25">
      <c r="A124" s="1">
        <v>768</v>
      </c>
      <c r="B124" s="8" t="s">
        <v>20</v>
      </c>
      <c r="C124" s="31" t="s">
        <v>64</v>
      </c>
      <c r="D124" s="49">
        <f t="shared" si="4"/>
        <v>860</v>
      </c>
      <c r="E124" s="24">
        <v>1600</v>
      </c>
      <c r="F124" s="117">
        <f>SUM(G124:R124)</f>
        <v>1500</v>
      </c>
      <c r="G124" s="32">
        <v>0</v>
      </c>
      <c r="H124" s="50">
        <f>590-590</f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180</v>
      </c>
      <c r="O124" s="32">
        <v>270</v>
      </c>
      <c r="P124" s="32">
        <v>410</v>
      </c>
      <c r="Q124" s="32">
        <v>0</v>
      </c>
      <c r="R124" s="33">
        <v>640</v>
      </c>
    </row>
    <row r="125" spans="1:18" x14ac:dyDescent="0.25">
      <c r="A125" s="1">
        <v>768</v>
      </c>
      <c r="B125" s="8" t="s">
        <v>21</v>
      </c>
      <c r="C125" s="31" t="s">
        <v>65</v>
      </c>
      <c r="D125" s="49">
        <f t="shared" si="4"/>
        <v>0</v>
      </c>
      <c r="E125" s="25">
        <v>0</v>
      </c>
      <c r="F125" s="117">
        <f>SUM(G125:R125)</f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3">
        <v>0</v>
      </c>
    </row>
    <row r="126" spans="1:18" x14ac:dyDescent="0.25">
      <c r="A126" s="1">
        <v>768</v>
      </c>
      <c r="B126" s="8" t="s">
        <v>24</v>
      </c>
      <c r="C126" s="31" t="s">
        <v>66</v>
      </c>
      <c r="D126" s="49">
        <f t="shared" si="4"/>
        <v>1000</v>
      </c>
      <c r="E126" s="24">
        <v>1200</v>
      </c>
      <c r="F126" s="117">
        <f>SUM(G126:R126)</f>
        <v>1200</v>
      </c>
      <c r="G126" s="32">
        <v>100</v>
      </c>
      <c r="H126" s="32">
        <v>100</v>
      </c>
      <c r="I126" s="32">
        <v>0</v>
      </c>
      <c r="J126" s="32">
        <v>100</v>
      </c>
      <c r="K126" s="32">
        <v>200</v>
      </c>
      <c r="L126" s="32">
        <v>0</v>
      </c>
      <c r="M126" s="32">
        <v>100</v>
      </c>
      <c r="N126" s="32">
        <v>100</v>
      </c>
      <c r="O126" s="32">
        <v>100</v>
      </c>
      <c r="P126" s="32">
        <v>100</v>
      </c>
      <c r="Q126" s="32">
        <v>100</v>
      </c>
      <c r="R126" s="33">
        <v>200</v>
      </c>
    </row>
    <row r="127" spans="1:18" x14ac:dyDescent="0.25">
      <c r="A127" s="1">
        <v>768</v>
      </c>
      <c r="B127" s="8" t="s">
        <v>23</v>
      </c>
      <c r="C127" s="31" t="s">
        <v>67</v>
      </c>
      <c r="D127" s="49">
        <f t="shared" si="4"/>
        <v>98</v>
      </c>
      <c r="E127" s="24">
        <v>1000</v>
      </c>
      <c r="F127" s="117">
        <f>SUM(G127:R127)</f>
        <v>100</v>
      </c>
      <c r="G127" s="32">
        <v>0</v>
      </c>
      <c r="H127" s="32">
        <v>0</v>
      </c>
      <c r="I127" s="32">
        <v>75</v>
      </c>
      <c r="J127" s="32">
        <v>0</v>
      </c>
      <c r="K127" s="32">
        <v>0</v>
      </c>
      <c r="L127" s="32">
        <v>0</v>
      </c>
      <c r="M127" s="32">
        <v>1518.19</v>
      </c>
      <c r="N127" s="32">
        <v>-1495.19</v>
      </c>
      <c r="O127" s="32"/>
      <c r="P127" s="32">
        <v>0</v>
      </c>
      <c r="Q127" s="32">
        <v>0</v>
      </c>
      <c r="R127" s="33">
        <v>2</v>
      </c>
    </row>
    <row r="128" spans="1:18" x14ac:dyDescent="0.25">
      <c r="A128" s="1">
        <v>769</v>
      </c>
      <c r="C128" s="22" t="s">
        <v>227</v>
      </c>
      <c r="D128" s="49">
        <f t="shared" si="4"/>
        <v>5000</v>
      </c>
      <c r="E128" s="69">
        <f>0+5000</f>
        <v>5000</v>
      </c>
      <c r="F128" s="119">
        <f>SUM(G128:R128)</f>
        <v>5000</v>
      </c>
      <c r="G128" s="6">
        <v>0</v>
      </c>
      <c r="H128" s="6">
        <v>0</v>
      </c>
      <c r="I128" s="6">
        <v>0</v>
      </c>
      <c r="J128" s="6">
        <v>0</v>
      </c>
      <c r="K128" s="84">
        <v>0</v>
      </c>
      <c r="L128" s="32">
        <v>5000</v>
      </c>
      <c r="M128" s="32">
        <v>-0.96</v>
      </c>
      <c r="N128" s="84">
        <v>0</v>
      </c>
      <c r="O128" s="84">
        <v>0</v>
      </c>
      <c r="P128" s="32">
        <f>-1.85+2.81</f>
        <v>0.96</v>
      </c>
      <c r="Q128" s="84">
        <v>0</v>
      </c>
      <c r="R128" s="33">
        <v>0</v>
      </c>
    </row>
    <row r="129" spans="1:18" x14ac:dyDescent="0.25">
      <c r="C129" s="22" t="s">
        <v>68</v>
      </c>
      <c r="D129" s="52">
        <f t="shared" ref="D129:R129" si="5">SUM(D33:D128)</f>
        <v>150048.43999999994</v>
      </c>
      <c r="E129" s="115">
        <f>SUM(E33:E128)</f>
        <v>205757.38</v>
      </c>
      <c r="F129" s="118">
        <f t="shared" si="5"/>
        <v>201297.55</v>
      </c>
      <c r="G129" s="10">
        <f t="shared" si="5"/>
        <v>10510.37</v>
      </c>
      <c r="H129" s="10">
        <f t="shared" si="5"/>
        <v>9337.0099999999984</v>
      </c>
      <c r="I129" s="10">
        <f t="shared" si="5"/>
        <v>15110.09</v>
      </c>
      <c r="J129" s="10">
        <f t="shared" si="5"/>
        <v>10356.040000000001</v>
      </c>
      <c r="K129" s="43">
        <f t="shared" si="5"/>
        <v>16376.429999999995</v>
      </c>
      <c r="L129" s="43">
        <f t="shared" si="5"/>
        <v>14471.4</v>
      </c>
      <c r="M129" s="43">
        <f t="shared" si="5"/>
        <v>10043.340000000002</v>
      </c>
      <c r="N129" s="43">
        <f t="shared" si="5"/>
        <v>9942.6199999999972</v>
      </c>
      <c r="O129" s="43">
        <f t="shared" si="5"/>
        <v>22162.54</v>
      </c>
      <c r="P129" s="43">
        <f t="shared" si="5"/>
        <v>10523.979999999998</v>
      </c>
      <c r="Q129" s="43">
        <f t="shared" si="5"/>
        <v>21214.619999999995</v>
      </c>
      <c r="R129" s="35">
        <f t="shared" si="5"/>
        <v>51249.110000000008</v>
      </c>
    </row>
    <row r="130" spans="1:18" x14ac:dyDescent="0.25">
      <c r="C130" s="27" t="s">
        <v>196</v>
      </c>
      <c r="D130" s="41">
        <f t="shared" ref="D130:R130" si="6">+D30-D129</f>
        <v>42155.860000000073</v>
      </c>
      <c r="E130" s="45">
        <f>+E30-E129</f>
        <v>-2788.2099999999919</v>
      </c>
      <c r="F130" s="73">
        <f t="shared" si="6"/>
        <v>-7345.3799999999756</v>
      </c>
      <c r="G130" s="45">
        <f t="shared" si="6"/>
        <v>3492.8599999999988</v>
      </c>
      <c r="H130" s="45">
        <f t="shared" si="6"/>
        <v>28863.840000000007</v>
      </c>
      <c r="I130" s="45">
        <f t="shared" si="6"/>
        <v>65786.680000000008</v>
      </c>
      <c r="J130" s="45">
        <f t="shared" si="6"/>
        <v>28871.93</v>
      </c>
      <c r="K130" s="45">
        <f t="shared" si="6"/>
        <v>-8417.1599999999944</v>
      </c>
      <c r="L130" s="45">
        <f t="shared" si="6"/>
        <v>-9282.4599999999991</v>
      </c>
      <c r="M130" s="45">
        <f t="shared" si="6"/>
        <v>-7349.9300000000021</v>
      </c>
      <c r="N130" s="45">
        <f t="shared" si="6"/>
        <v>-8429.7299999999977</v>
      </c>
      <c r="O130" s="45">
        <f t="shared" si="6"/>
        <v>-22368.04</v>
      </c>
      <c r="P130" s="45">
        <f t="shared" si="6"/>
        <v>-8805.5099999999984</v>
      </c>
      <c r="Q130" s="45">
        <f t="shared" si="6"/>
        <v>-20206.619999999995</v>
      </c>
      <c r="R130" s="37">
        <f t="shared" si="6"/>
        <v>-49501.240000000005</v>
      </c>
    </row>
    <row r="131" spans="1:18" x14ac:dyDescent="0.25">
      <c r="C131" s="27"/>
      <c r="D131" s="46"/>
      <c r="E131" s="46"/>
      <c r="F131" s="40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0"/>
    </row>
    <row r="132" spans="1:18" x14ac:dyDescent="0.25">
      <c r="A132" s="1">
        <v>800</v>
      </c>
      <c r="C132" s="22" t="s">
        <v>285</v>
      </c>
      <c r="D132" s="32"/>
      <c r="E132" s="32"/>
      <c r="F132" s="32"/>
      <c r="G132" s="44"/>
      <c r="H132" s="44"/>
      <c r="I132" s="44"/>
      <c r="J132" s="44"/>
      <c r="K132" s="44"/>
      <c r="L132" s="44"/>
      <c r="M132" s="44"/>
      <c r="N132" s="44"/>
      <c r="O132" s="44"/>
      <c r="P132" s="32"/>
      <c r="Q132" s="44"/>
      <c r="R132" s="32"/>
    </row>
    <row r="133" spans="1:18" x14ac:dyDescent="0.25">
      <c r="A133" s="53">
        <v>801</v>
      </c>
      <c r="B133" s="54"/>
      <c r="C133" s="55" t="s">
        <v>228</v>
      </c>
      <c r="D133" s="72">
        <f t="shared" ref="D133:D140" si="7">SUM(G133:Q133)</f>
        <v>0</v>
      </c>
      <c r="E133" s="68"/>
      <c r="F133" s="104"/>
      <c r="G133" s="32"/>
      <c r="H133" s="32"/>
      <c r="I133" s="32"/>
      <c r="J133" s="32"/>
      <c r="K133" s="44"/>
      <c r="L133" s="44"/>
      <c r="M133" s="44"/>
      <c r="N133" s="44"/>
      <c r="O133" s="44"/>
      <c r="P133" s="44"/>
      <c r="Q133" s="44"/>
      <c r="R133" s="36"/>
    </row>
    <row r="134" spans="1:18" x14ac:dyDescent="0.25">
      <c r="A134" s="53">
        <v>801</v>
      </c>
      <c r="B134" s="54" t="s">
        <v>99</v>
      </c>
      <c r="C134" s="56" t="s">
        <v>69</v>
      </c>
      <c r="D134" s="72">
        <f t="shared" si="7"/>
        <v>26684.19</v>
      </c>
      <c r="E134" s="113">
        <v>32000</v>
      </c>
      <c r="F134" s="117">
        <f>SUM(G134:R134)</f>
        <v>32000</v>
      </c>
      <c r="G134" s="32">
        <v>0</v>
      </c>
      <c r="H134" s="32">
        <v>0</v>
      </c>
      <c r="I134" s="32">
        <v>0</v>
      </c>
      <c r="J134" s="32">
        <v>0</v>
      </c>
      <c r="K134" s="32">
        <v>400.56</v>
      </c>
      <c r="L134" s="32">
        <v>378.56</v>
      </c>
      <c r="M134" s="32">
        <v>0</v>
      </c>
      <c r="N134" s="32">
        <v>0</v>
      </c>
      <c r="O134" s="32">
        <v>1557.23</v>
      </c>
      <c r="P134" s="32">
        <f>6546.5+590.31</f>
        <v>7136.8099999999995</v>
      </c>
      <c r="Q134" s="32">
        <v>17211.03</v>
      </c>
      <c r="R134" s="33">
        <v>5315.81</v>
      </c>
    </row>
    <row r="135" spans="1:18" x14ac:dyDescent="0.25">
      <c r="A135" s="53"/>
      <c r="B135" s="54" t="s">
        <v>105</v>
      </c>
      <c r="C135" s="56" t="s">
        <v>204</v>
      </c>
      <c r="D135" s="72">
        <f t="shared" si="7"/>
        <v>4229.92</v>
      </c>
      <c r="E135" s="113">
        <v>8100</v>
      </c>
      <c r="F135" s="117">
        <f>SUM(G135:R135)</f>
        <v>8100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235.2</v>
      </c>
      <c r="P135" s="32">
        <f>880+19.2</f>
        <v>899.2</v>
      </c>
      <c r="Q135" s="32">
        <v>3095.52</v>
      </c>
      <c r="R135" s="33">
        <v>3870.08</v>
      </c>
    </row>
    <row r="136" spans="1:18" x14ac:dyDescent="0.25">
      <c r="A136" s="53"/>
      <c r="B136" s="54" t="s">
        <v>97</v>
      </c>
      <c r="C136" s="56" t="s">
        <v>70</v>
      </c>
      <c r="D136" s="72">
        <f t="shared" si="7"/>
        <v>2500</v>
      </c>
      <c r="E136" s="113">
        <v>3720</v>
      </c>
      <c r="F136" s="117">
        <f>SUM(G136:R136)</f>
        <v>3720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25</v>
      </c>
      <c r="N136" s="32">
        <v>125</v>
      </c>
      <c r="O136" s="32">
        <v>1010</v>
      </c>
      <c r="P136" s="32">
        <v>450</v>
      </c>
      <c r="Q136" s="32">
        <v>890</v>
      </c>
      <c r="R136" s="33">
        <v>1220</v>
      </c>
    </row>
    <row r="137" spans="1:18" x14ac:dyDescent="0.25">
      <c r="A137" s="53"/>
      <c r="B137" s="54" t="s">
        <v>102</v>
      </c>
      <c r="C137" s="56" t="s">
        <v>71</v>
      </c>
      <c r="D137" s="72">
        <f t="shared" si="7"/>
        <v>0</v>
      </c>
      <c r="E137" s="113">
        <v>0</v>
      </c>
      <c r="F137" s="117">
        <f>SUM(G137:R137)</f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3">
        <v>0</v>
      </c>
    </row>
    <row r="138" spans="1:18" s="9" customFormat="1" ht="12" x14ac:dyDescent="0.25">
      <c r="A138" s="57"/>
      <c r="B138" s="58" t="s">
        <v>98</v>
      </c>
      <c r="C138" s="59" t="s">
        <v>72</v>
      </c>
      <c r="D138" s="72">
        <f t="shared" si="7"/>
        <v>450</v>
      </c>
      <c r="E138" s="113">
        <v>550</v>
      </c>
      <c r="F138" s="117">
        <f>SUM(G138:R138)</f>
        <v>450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100</v>
      </c>
      <c r="O138" s="47">
        <v>75</v>
      </c>
      <c r="P138" s="47">
        <v>75</v>
      </c>
      <c r="Q138" s="47">
        <v>200</v>
      </c>
      <c r="R138" s="38">
        <v>0</v>
      </c>
    </row>
    <row r="139" spans="1:18" x14ac:dyDescent="0.25">
      <c r="A139" s="53"/>
      <c r="B139" s="54" t="s">
        <v>106</v>
      </c>
      <c r="C139" s="56" t="s">
        <v>256</v>
      </c>
      <c r="D139" s="72">
        <f t="shared" si="7"/>
        <v>2100</v>
      </c>
      <c r="E139" s="113">
        <v>1500</v>
      </c>
      <c r="F139" s="117">
        <f>SUM(G139:R139)</f>
        <v>2100</v>
      </c>
      <c r="G139" s="47">
        <v>0</v>
      </c>
      <c r="H139" s="47">
        <v>0</v>
      </c>
      <c r="I139" s="47">
        <v>0</v>
      </c>
      <c r="J139" s="47">
        <v>0</v>
      </c>
      <c r="K139" s="47">
        <v>500</v>
      </c>
      <c r="L139" s="47">
        <v>0</v>
      </c>
      <c r="M139" s="47">
        <v>0</v>
      </c>
      <c r="N139" s="47">
        <v>500</v>
      </c>
      <c r="O139" s="47">
        <v>800</v>
      </c>
      <c r="P139" s="47">
        <v>300</v>
      </c>
      <c r="Q139" s="47">
        <v>0</v>
      </c>
      <c r="R139" s="38">
        <v>0</v>
      </c>
    </row>
    <row r="140" spans="1:18" x14ac:dyDescent="0.25">
      <c r="A140" s="53"/>
      <c r="B140" s="54" t="s">
        <v>107</v>
      </c>
      <c r="C140" s="56" t="s">
        <v>223</v>
      </c>
      <c r="D140" s="72">
        <f t="shared" si="7"/>
        <v>3073</v>
      </c>
      <c r="E140" s="113">
        <v>3070</v>
      </c>
      <c r="F140" s="117">
        <f>SUM(G140:R140)</f>
        <v>3073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3073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34">
        <v>0</v>
      </c>
    </row>
    <row r="141" spans="1:18" x14ac:dyDescent="0.25">
      <c r="A141" s="53"/>
      <c r="B141" s="54"/>
      <c r="C141" s="55" t="s">
        <v>229</v>
      </c>
      <c r="D141" s="85">
        <f>SUM(D132:D140)</f>
        <v>39037.11</v>
      </c>
      <c r="E141" s="43">
        <f t="shared" ref="E141" si="8">SUM(E134:E140)</f>
        <v>48940</v>
      </c>
      <c r="F141" s="118">
        <f>SUM(F132:F140)</f>
        <v>49443</v>
      </c>
      <c r="G141" s="43">
        <f t="shared" ref="G141:N141" si="9">SUM(G134:G140)</f>
        <v>0</v>
      </c>
      <c r="H141" s="43">
        <f t="shared" si="9"/>
        <v>0</v>
      </c>
      <c r="I141" s="43">
        <f t="shared" si="9"/>
        <v>0</v>
      </c>
      <c r="J141" s="43">
        <f t="shared" si="9"/>
        <v>0</v>
      </c>
      <c r="K141" s="43">
        <f t="shared" si="9"/>
        <v>900.56</v>
      </c>
      <c r="L141" s="43">
        <f t="shared" si="9"/>
        <v>3451.56</v>
      </c>
      <c r="M141" s="43">
        <f t="shared" si="9"/>
        <v>25</v>
      </c>
      <c r="N141" s="43">
        <f t="shared" si="9"/>
        <v>725</v>
      </c>
      <c r="O141" s="43">
        <f>SUM(O132:O140)</f>
        <v>3677.4300000000003</v>
      </c>
      <c r="P141" s="43">
        <f>SUM(P132:P140)</f>
        <v>8861.0099999999984</v>
      </c>
      <c r="Q141" s="43">
        <f>SUM(Q132:Q140)</f>
        <v>21396.55</v>
      </c>
      <c r="R141" s="35">
        <f>SUM(R132:R140)</f>
        <v>10405.89</v>
      </c>
    </row>
    <row r="142" spans="1:18" x14ac:dyDescent="0.25">
      <c r="A142" s="48"/>
      <c r="B142" s="88"/>
      <c r="C142" s="89" t="s">
        <v>236</v>
      </c>
      <c r="D142" s="24"/>
      <c r="E142" s="24"/>
      <c r="F142" s="60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3"/>
    </row>
    <row r="143" spans="1:18" x14ac:dyDescent="0.25">
      <c r="A143" s="53">
        <v>901</v>
      </c>
      <c r="B143" s="54" t="s">
        <v>99</v>
      </c>
      <c r="C143" s="56" t="s">
        <v>69</v>
      </c>
      <c r="D143" s="72">
        <f t="shared" ref="D143:D158" si="10">SUM(G143:Q143)</f>
        <v>144.55000000000001</v>
      </c>
      <c r="E143" s="113">
        <v>27000</v>
      </c>
      <c r="F143" s="117">
        <f>SUM(G143:R143)</f>
        <v>27000</v>
      </c>
      <c r="G143" s="32">
        <v>0</v>
      </c>
      <c r="H143" s="32">
        <v>0</v>
      </c>
      <c r="I143" s="32">
        <v>144.55000000000001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3">
        <v>26855.45</v>
      </c>
    </row>
    <row r="144" spans="1:18" x14ac:dyDescent="0.25">
      <c r="A144" s="53"/>
      <c r="B144" s="54" t="s">
        <v>105</v>
      </c>
      <c r="C144" s="56" t="s">
        <v>0</v>
      </c>
      <c r="D144" s="72">
        <f t="shared" si="10"/>
        <v>0</v>
      </c>
      <c r="E144" s="113">
        <v>3600</v>
      </c>
      <c r="F144" s="117">
        <f>SUM(G144:R144)</f>
        <v>3600</v>
      </c>
      <c r="G144" s="32">
        <v>0</v>
      </c>
      <c r="H144" s="32">
        <v>0</v>
      </c>
      <c r="I144" s="32"/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3">
        <v>3600</v>
      </c>
    </row>
    <row r="145" spans="1:18" x14ac:dyDescent="0.25">
      <c r="A145" s="53"/>
      <c r="B145" s="54" t="s">
        <v>97</v>
      </c>
      <c r="C145" s="56" t="s">
        <v>73</v>
      </c>
      <c r="D145" s="72">
        <f t="shared" si="10"/>
        <v>0</v>
      </c>
      <c r="E145" s="113">
        <v>1000</v>
      </c>
      <c r="F145" s="117">
        <f>SUM(G145:R145)</f>
        <v>1000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3">
        <v>1000</v>
      </c>
    </row>
    <row r="146" spans="1:18" x14ac:dyDescent="0.25">
      <c r="A146" s="53"/>
      <c r="B146" s="54" t="s">
        <v>102</v>
      </c>
      <c r="C146" s="56" t="s">
        <v>214</v>
      </c>
      <c r="D146" s="72">
        <f t="shared" si="10"/>
        <v>500</v>
      </c>
      <c r="E146" s="113">
        <v>1275</v>
      </c>
      <c r="F146" s="117">
        <f>SUM(G146:R146)</f>
        <v>1275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500</v>
      </c>
      <c r="R146" s="33">
        <v>775</v>
      </c>
    </row>
    <row r="147" spans="1:18" x14ac:dyDescent="0.25">
      <c r="A147" s="53"/>
      <c r="B147" s="54" t="s">
        <v>98</v>
      </c>
      <c r="C147" s="56" t="s">
        <v>74</v>
      </c>
      <c r="D147" s="72">
        <f t="shared" si="10"/>
        <v>0</v>
      </c>
      <c r="E147" s="113">
        <v>0</v>
      </c>
      <c r="F147" s="117">
        <f>SUM(G147:R147)</f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3">
        <v>0</v>
      </c>
    </row>
    <row r="148" spans="1:18" x14ac:dyDescent="0.25">
      <c r="A148" s="53"/>
      <c r="B148" s="54" t="s">
        <v>103</v>
      </c>
      <c r="C148" s="56" t="s">
        <v>75</v>
      </c>
      <c r="D148" s="72">
        <f t="shared" si="10"/>
        <v>952</v>
      </c>
      <c r="E148" s="113">
        <v>500</v>
      </c>
      <c r="F148" s="117">
        <f>SUM(G148:R148)</f>
        <v>1000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60</v>
      </c>
      <c r="O148" s="32">
        <v>0</v>
      </c>
      <c r="P148" s="32">
        <v>0</v>
      </c>
      <c r="Q148" s="32">
        <v>892</v>
      </c>
      <c r="R148" s="33">
        <v>48</v>
      </c>
    </row>
    <row r="149" spans="1:18" x14ac:dyDescent="0.25">
      <c r="A149" s="53"/>
      <c r="B149" s="54" t="s">
        <v>106</v>
      </c>
      <c r="C149" s="56" t="s">
        <v>76</v>
      </c>
      <c r="D149" s="72">
        <f t="shared" si="10"/>
        <v>0</v>
      </c>
      <c r="E149" s="113">
        <v>2700</v>
      </c>
      <c r="F149" s="117">
        <f>SUM(G149:R149)</f>
        <v>2700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3">
        <v>2700</v>
      </c>
    </row>
    <row r="150" spans="1:18" x14ac:dyDescent="0.25">
      <c r="A150" s="53"/>
      <c r="B150" s="54" t="s">
        <v>107</v>
      </c>
      <c r="C150" s="56" t="s">
        <v>77</v>
      </c>
      <c r="D150" s="72">
        <f t="shared" si="10"/>
        <v>1500</v>
      </c>
      <c r="E150" s="113">
        <v>2000</v>
      </c>
      <c r="F150" s="117">
        <f>SUM(G150:R150)</f>
        <v>2000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1500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3">
        <v>500</v>
      </c>
    </row>
    <row r="151" spans="1:18" x14ac:dyDescent="0.25">
      <c r="A151" s="53"/>
      <c r="B151" s="54" t="s">
        <v>108</v>
      </c>
      <c r="C151" s="56" t="s">
        <v>78</v>
      </c>
      <c r="D151" s="72">
        <f t="shared" si="10"/>
        <v>0</v>
      </c>
      <c r="E151" s="113">
        <v>500</v>
      </c>
      <c r="F151" s="117">
        <f>SUM(G151:R151)</f>
        <v>500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3">
        <v>500</v>
      </c>
    </row>
    <row r="152" spans="1:18" x14ac:dyDescent="0.25">
      <c r="A152" s="53"/>
      <c r="B152" s="54" t="s">
        <v>183</v>
      </c>
      <c r="C152" s="56" t="s">
        <v>79</v>
      </c>
      <c r="D152" s="72">
        <f t="shared" si="10"/>
        <v>0</v>
      </c>
      <c r="E152" s="113">
        <v>0</v>
      </c>
      <c r="F152" s="117">
        <f>SUM(G152:R152)</f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3">
        <v>0</v>
      </c>
    </row>
    <row r="153" spans="1:18" x14ac:dyDescent="0.25">
      <c r="A153" s="53"/>
      <c r="B153" s="54" t="s">
        <v>101</v>
      </c>
      <c r="C153" s="56" t="s">
        <v>259</v>
      </c>
      <c r="D153" s="72">
        <f t="shared" si="10"/>
        <v>24.38</v>
      </c>
      <c r="E153" s="113">
        <v>0</v>
      </c>
      <c r="F153" s="117">
        <f>SUM(G153:R153)</f>
        <v>25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24.38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3">
        <v>0.62</v>
      </c>
    </row>
    <row r="154" spans="1:18" x14ac:dyDescent="0.25">
      <c r="A154" s="53"/>
      <c r="B154" s="54" t="s">
        <v>104</v>
      </c>
      <c r="C154" s="56" t="s">
        <v>224</v>
      </c>
      <c r="D154" s="72">
        <f t="shared" si="10"/>
        <v>0</v>
      </c>
      <c r="E154" s="113">
        <v>570</v>
      </c>
      <c r="F154" s="117">
        <f>SUM(G154:R154)</f>
        <v>570</v>
      </c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3">
        <v>570</v>
      </c>
    </row>
    <row r="155" spans="1:18" x14ac:dyDescent="0.25">
      <c r="A155" s="53"/>
      <c r="B155" s="54" t="s">
        <v>100</v>
      </c>
      <c r="C155" s="56" t="s">
        <v>207</v>
      </c>
      <c r="D155" s="72">
        <f t="shared" si="10"/>
        <v>0</v>
      </c>
      <c r="E155" s="113">
        <v>3000</v>
      </c>
      <c r="F155" s="117">
        <f>SUM(G155:R155)</f>
        <v>3000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3">
        <v>3000</v>
      </c>
    </row>
    <row r="156" spans="1:18" x14ac:dyDescent="0.25">
      <c r="A156" s="53"/>
      <c r="B156" s="54" t="s">
        <v>205</v>
      </c>
      <c r="C156" s="56" t="s">
        <v>225</v>
      </c>
      <c r="D156" s="72">
        <f t="shared" si="10"/>
        <v>0</v>
      </c>
      <c r="E156" s="113">
        <v>1000</v>
      </c>
      <c r="F156" s="117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3">
        <v>1000</v>
      </c>
    </row>
    <row r="157" spans="1:18" x14ac:dyDescent="0.25">
      <c r="A157" s="53"/>
      <c r="B157" s="54" t="s">
        <v>115</v>
      </c>
      <c r="C157" s="56" t="s">
        <v>208</v>
      </c>
      <c r="D157" s="72">
        <f t="shared" si="10"/>
        <v>1185.44</v>
      </c>
      <c r="E157" s="113">
        <v>2250</v>
      </c>
      <c r="F157" s="117">
        <f>SUM(G157:R157)</f>
        <v>2250</v>
      </c>
      <c r="G157" s="32">
        <v>0</v>
      </c>
      <c r="H157" s="32">
        <v>0</v>
      </c>
      <c r="I157" s="32">
        <v>0</v>
      </c>
      <c r="J157" s="32">
        <v>0</v>
      </c>
      <c r="K157" s="32">
        <v>170.8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1014.64</v>
      </c>
      <c r="R157" s="33">
        <v>1064.56</v>
      </c>
    </row>
    <row r="158" spans="1:18" x14ac:dyDescent="0.25">
      <c r="A158" s="53"/>
      <c r="B158" s="54" t="s">
        <v>116</v>
      </c>
      <c r="C158" s="56" t="s">
        <v>226</v>
      </c>
      <c r="D158" s="72">
        <f t="shared" si="10"/>
        <v>0</v>
      </c>
      <c r="E158" s="113">
        <v>475</v>
      </c>
      <c r="F158" s="117">
        <f>SUM(G158:R158)</f>
        <v>475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34">
        <v>475</v>
      </c>
    </row>
    <row r="159" spans="1:18" x14ac:dyDescent="0.25">
      <c r="A159" s="53"/>
      <c r="B159" s="54"/>
      <c r="C159" s="55" t="s">
        <v>237</v>
      </c>
      <c r="D159" s="85">
        <f>SUM(D142:D158)</f>
        <v>4306.3700000000008</v>
      </c>
      <c r="E159" s="43">
        <f>SUM(E143:E158)</f>
        <v>45870</v>
      </c>
      <c r="F159" s="118">
        <f t="shared" ref="F159:R159" si="11">SUM(F143:F158)</f>
        <v>45395</v>
      </c>
      <c r="G159" s="43">
        <f t="shared" si="11"/>
        <v>0</v>
      </c>
      <c r="H159" s="43">
        <f t="shared" si="11"/>
        <v>0</v>
      </c>
      <c r="I159" s="43">
        <f t="shared" si="11"/>
        <v>144.55000000000001</v>
      </c>
      <c r="J159" s="43">
        <f t="shared" si="11"/>
        <v>0</v>
      </c>
      <c r="K159" s="43">
        <f t="shared" si="11"/>
        <v>170.8</v>
      </c>
      <c r="L159" s="43">
        <f t="shared" si="11"/>
        <v>1524.38</v>
      </c>
      <c r="M159" s="43">
        <f t="shared" si="11"/>
        <v>0</v>
      </c>
      <c r="N159" s="43">
        <f t="shared" si="11"/>
        <v>60</v>
      </c>
      <c r="O159" s="43">
        <f t="shared" si="11"/>
        <v>0</v>
      </c>
      <c r="P159" s="43">
        <f t="shared" si="11"/>
        <v>0</v>
      </c>
      <c r="Q159" s="43">
        <f t="shared" si="11"/>
        <v>2406.64</v>
      </c>
      <c r="R159" s="35">
        <f t="shared" si="11"/>
        <v>42088.63</v>
      </c>
    </row>
    <row r="160" spans="1:18" x14ac:dyDescent="0.25">
      <c r="A160" s="53"/>
      <c r="B160" s="54"/>
      <c r="C160" s="55" t="s">
        <v>264</v>
      </c>
      <c r="D160" s="94">
        <f>+D141-D159</f>
        <v>34730.74</v>
      </c>
      <c r="E160" s="42">
        <f>+E141-E159</f>
        <v>3070</v>
      </c>
      <c r="F160" s="149">
        <f>+F141-F159</f>
        <v>4048</v>
      </c>
      <c r="G160" s="42"/>
      <c r="H160" s="42"/>
      <c r="I160" s="42"/>
      <c r="J160" s="42">
        <f t="shared" ref="J160:R160" si="12">+J141-J159</f>
        <v>0</v>
      </c>
      <c r="K160" s="42">
        <f t="shared" si="12"/>
        <v>729.76</v>
      </c>
      <c r="L160" s="42">
        <f t="shared" si="12"/>
        <v>1927.1799999999998</v>
      </c>
      <c r="M160" s="42">
        <f t="shared" si="12"/>
        <v>25</v>
      </c>
      <c r="N160" s="42">
        <f t="shared" si="12"/>
        <v>665</v>
      </c>
      <c r="O160" s="42">
        <f t="shared" si="12"/>
        <v>3677.4300000000003</v>
      </c>
      <c r="P160" s="42">
        <f t="shared" si="12"/>
        <v>8861.0099999999984</v>
      </c>
      <c r="Q160" s="42">
        <f t="shared" si="12"/>
        <v>18989.91</v>
      </c>
      <c r="R160" s="34">
        <f t="shared" si="12"/>
        <v>-31682.739999999998</v>
      </c>
    </row>
    <row r="161" spans="1:19" s="48" customFormat="1" ht="14.4" thickBot="1" x14ac:dyDescent="0.3">
      <c r="B161" s="88"/>
      <c r="C161" s="89"/>
      <c r="D161" s="46"/>
      <c r="E161" s="47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95"/>
    </row>
    <row r="162" spans="1:19" s="48" customFormat="1" ht="14.4" thickBot="1" x14ac:dyDescent="0.3">
      <c r="A162" s="99"/>
      <c r="B162" s="100"/>
      <c r="C162" s="101" t="s">
        <v>288</v>
      </c>
      <c r="D162" s="102">
        <f>+D130+D160</f>
        <v>76886.600000000064</v>
      </c>
      <c r="E162" s="102">
        <f>+E130+E160</f>
        <v>281.79000000000815</v>
      </c>
      <c r="F162" s="150">
        <f>+F130+F160</f>
        <v>-3297.3799999999756</v>
      </c>
      <c r="G162" s="103">
        <f t="shared" ref="G162:I162" si="13">+G130+G160</f>
        <v>3492.8599999999988</v>
      </c>
      <c r="H162" s="103">
        <f t="shared" si="13"/>
        <v>28863.840000000007</v>
      </c>
      <c r="I162" s="103">
        <f t="shared" si="13"/>
        <v>65786.680000000008</v>
      </c>
      <c r="J162" s="103">
        <f t="shared" ref="J162:R162" si="14">+J130+J160</f>
        <v>28871.93</v>
      </c>
      <c r="K162" s="103">
        <f t="shared" si="14"/>
        <v>-7687.3999999999942</v>
      </c>
      <c r="L162" s="103">
        <f t="shared" si="14"/>
        <v>-7355.2799999999988</v>
      </c>
      <c r="M162" s="103">
        <f t="shared" si="14"/>
        <v>-7324.9300000000021</v>
      </c>
      <c r="N162" s="103">
        <f t="shared" si="14"/>
        <v>-7764.7299999999977</v>
      </c>
      <c r="O162" s="103">
        <f t="shared" si="14"/>
        <v>-18690.61</v>
      </c>
      <c r="P162" s="103">
        <f t="shared" si="14"/>
        <v>55.5</v>
      </c>
      <c r="Q162" s="103">
        <f t="shared" si="14"/>
        <v>-1216.7099999999955</v>
      </c>
      <c r="R162" s="151">
        <f t="shared" si="14"/>
        <v>-81183.98000000001</v>
      </c>
      <c r="S162" s="95"/>
    </row>
    <row r="163" spans="1:19" s="48" customFormat="1" x14ac:dyDescent="0.25">
      <c r="B163" s="88"/>
      <c r="C163" s="89"/>
      <c r="D163" s="7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95"/>
    </row>
    <row r="164" spans="1:19" x14ac:dyDescent="0.25">
      <c r="A164" s="123">
        <v>802</v>
      </c>
      <c r="B164" s="124"/>
      <c r="C164" s="125" t="s">
        <v>230</v>
      </c>
      <c r="D164" s="126">
        <f>SUM(G164:Q164)</f>
        <v>10857</v>
      </c>
      <c r="E164" s="70">
        <v>12000</v>
      </c>
      <c r="F164" s="126">
        <f>SUM(G164:R164)</f>
        <v>12000</v>
      </c>
      <c r="G164" s="42">
        <v>1148</v>
      </c>
      <c r="H164" s="93">
        <f>4370-162</f>
        <v>4208</v>
      </c>
      <c r="I164" s="42">
        <v>1250</v>
      </c>
      <c r="J164" s="42">
        <v>613</v>
      </c>
      <c r="K164" s="42">
        <v>513</v>
      </c>
      <c r="L164" s="42">
        <v>754</v>
      </c>
      <c r="M164" s="42">
        <v>110</v>
      </c>
      <c r="N164" s="42">
        <v>118</v>
      </c>
      <c r="O164" s="42">
        <v>1805</v>
      </c>
      <c r="P164" s="42">
        <v>338</v>
      </c>
      <c r="Q164" s="42">
        <v>0</v>
      </c>
      <c r="R164" s="34">
        <v>1143</v>
      </c>
    </row>
    <row r="165" spans="1:19" x14ac:dyDescent="0.25">
      <c r="A165" s="123"/>
      <c r="B165" s="124"/>
      <c r="C165" s="125" t="s">
        <v>238</v>
      </c>
      <c r="D165" s="127"/>
      <c r="E165" s="44"/>
      <c r="F165" s="123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3"/>
    </row>
    <row r="166" spans="1:19" x14ac:dyDescent="0.25">
      <c r="A166" s="123">
        <v>902</v>
      </c>
      <c r="B166" s="124" t="s">
        <v>99</v>
      </c>
      <c r="C166" s="125" t="s">
        <v>168</v>
      </c>
      <c r="D166" s="127">
        <f>SUM(G166:Q166)</f>
        <v>3500</v>
      </c>
      <c r="E166" s="24">
        <v>3500</v>
      </c>
      <c r="F166" s="127">
        <f>SUM(G166:R166)</f>
        <v>3500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3500</v>
      </c>
      <c r="N166" s="32">
        <v>0</v>
      </c>
      <c r="O166" s="32">
        <v>0</v>
      </c>
      <c r="P166" s="32">
        <v>0</v>
      </c>
      <c r="Q166" s="32">
        <v>0</v>
      </c>
      <c r="R166" s="33">
        <v>0</v>
      </c>
    </row>
    <row r="167" spans="1:19" x14ac:dyDescent="0.25">
      <c r="A167" s="123">
        <v>902</v>
      </c>
      <c r="B167" s="124" t="s">
        <v>105</v>
      </c>
      <c r="C167" s="125" t="s">
        <v>169</v>
      </c>
      <c r="D167" s="127">
        <f t="shared" ref="D167:D189" si="15">SUM(G167:Q167)</f>
        <v>200</v>
      </c>
      <c r="E167" s="24">
        <v>750</v>
      </c>
      <c r="F167" s="127">
        <f>SUM(G167:R167)</f>
        <v>750</v>
      </c>
      <c r="G167" s="32">
        <v>0</v>
      </c>
      <c r="H167" s="32">
        <v>0</v>
      </c>
      <c r="I167" s="32">
        <v>0</v>
      </c>
      <c r="J167" s="32">
        <v>0</v>
      </c>
      <c r="K167" s="32">
        <v>200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3">
        <v>550</v>
      </c>
    </row>
    <row r="168" spans="1:19" x14ac:dyDescent="0.25">
      <c r="A168" s="123">
        <v>902</v>
      </c>
      <c r="B168" s="124" t="s">
        <v>97</v>
      </c>
      <c r="C168" s="125" t="s">
        <v>169</v>
      </c>
      <c r="D168" s="127">
        <f t="shared" si="15"/>
        <v>0</v>
      </c>
      <c r="E168" s="24">
        <v>0</v>
      </c>
      <c r="F168" s="127">
        <f>SUM(G168:R168)</f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3">
        <v>0</v>
      </c>
    </row>
    <row r="169" spans="1:19" x14ac:dyDescent="0.25">
      <c r="A169" s="123">
        <v>902</v>
      </c>
      <c r="B169" s="124" t="s">
        <v>102</v>
      </c>
      <c r="C169" s="125" t="s">
        <v>178</v>
      </c>
      <c r="D169" s="127">
        <f t="shared" si="15"/>
        <v>2839</v>
      </c>
      <c r="E169" s="24">
        <v>3500</v>
      </c>
      <c r="F169" s="127">
        <f>SUM(G169:R169)</f>
        <v>3500</v>
      </c>
      <c r="G169" s="32">
        <v>0</v>
      </c>
      <c r="H169" s="32">
        <v>300</v>
      </c>
      <c r="I169" s="32">
        <v>0</v>
      </c>
      <c r="J169" s="32">
        <v>390</v>
      </c>
      <c r="K169" s="32">
        <v>0</v>
      </c>
      <c r="L169" s="32">
        <v>275</v>
      </c>
      <c r="M169" s="32">
        <v>1874</v>
      </c>
      <c r="N169" s="32">
        <v>0</v>
      </c>
      <c r="O169" s="32">
        <v>0</v>
      </c>
      <c r="P169" s="32">
        <v>0</v>
      </c>
      <c r="Q169" s="32">
        <v>0</v>
      </c>
      <c r="R169" s="33">
        <v>661</v>
      </c>
    </row>
    <row r="170" spans="1:19" x14ac:dyDescent="0.25">
      <c r="A170" s="123">
        <v>902</v>
      </c>
      <c r="B170" s="124" t="s">
        <v>98</v>
      </c>
      <c r="C170" s="125" t="s">
        <v>177</v>
      </c>
      <c r="D170" s="127">
        <f t="shared" si="15"/>
        <v>390</v>
      </c>
      <c r="E170" s="24">
        <v>1000</v>
      </c>
      <c r="F170" s="127">
        <f>SUM(G170:R170)</f>
        <v>1000</v>
      </c>
      <c r="G170" s="32">
        <v>0</v>
      </c>
      <c r="H170" s="32">
        <v>0</v>
      </c>
      <c r="I170" s="32">
        <v>0</v>
      </c>
      <c r="J170" s="32">
        <v>390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3">
        <v>610</v>
      </c>
    </row>
    <row r="171" spans="1:19" x14ac:dyDescent="0.25">
      <c r="A171" s="123">
        <v>902</v>
      </c>
      <c r="B171" s="124" t="s">
        <v>103</v>
      </c>
      <c r="C171" s="125" t="s">
        <v>187</v>
      </c>
      <c r="D171" s="127">
        <f t="shared" si="15"/>
        <v>390</v>
      </c>
      <c r="E171" s="24">
        <v>400</v>
      </c>
      <c r="F171" s="127">
        <f>SUM(G171:R171)</f>
        <v>400</v>
      </c>
      <c r="G171" s="32">
        <v>0</v>
      </c>
      <c r="H171" s="32">
        <v>0</v>
      </c>
      <c r="I171" s="32">
        <v>0</v>
      </c>
      <c r="J171" s="32">
        <v>390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3">
        <v>10</v>
      </c>
    </row>
    <row r="172" spans="1:19" x14ac:dyDescent="0.25">
      <c r="A172" s="123">
        <v>902</v>
      </c>
      <c r="B172" s="124" t="s">
        <v>106</v>
      </c>
      <c r="C172" s="125" t="s">
        <v>188</v>
      </c>
      <c r="D172" s="127">
        <f t="shared" si="15"/>
        <v>334.20000000000005</v>
      </c>
      <c r="E172" s="24">
        <v>400</v>
      </c>
      <c r="F172" s="127">
        <f>SUM(G172:R172)</f>
        <v>400.00000000000006</v>
      </c>
      <c r="G172" s="32">
        <v>167.4</v>
      </c>
      <c r="H172" s="32">
        <v>0</v>
      </c>
      <c r="I172" s="32">
        <v>0</v>
      </c>
      <c r="J172" s="32">
        <v>166.8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3">
        <v>65.8</v>
      </c>
    </row>
    <row r="173" spans="1:19" x14ac:dyDescent="0.25">
      <c r="A173" s="123">
        <v>902</v>
      </c>
      <c r="B173" s="124" t="s">
        <v>107</v>
      </c>
      <c r="C173" s="125" t="s">
        <v>189</v>
      </c>
      <c r="D173" s="127">
        <f t="shared" si="15"/>
        <v>390</v>
      </c>
      <c r="E173" s="24">
        <v>400</v>
      </c>
      <c r="F173" s="127">
        <f>SUM(G173:R173)</f>
        <v>400</v>
      </c>
      <c r="G173" s="32">
        <v>0</v>
      </c>
      <c r="H173" s="32">
        <v>0</v>
      </c>
      <c r="I173" s="32">
        <v>0</v>
      </c>
      <c r="J173" s="32">
        <v>390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3">
        <v>10</v>
      </c>
    </row>
    <row r="174" spans="1:19" x14ac:dyDescent="0.25">
      <c r="A174" s="123">
        <v>902</v>
      </c>
      <c r="B174" s="124" t="s">
        <v>108</v>
      </c>
      <c r="C174" s="125" t="s">
        <v>190</v>
      </c>
      <c r="D174" s="127">
        <f t="shared" si="15"/>
        <v>390</v>
      </c>
      <c r="E174" s="24">
        <v>400</v>
      </c>
      <c r="F174" s="127">
        <f>SUM(G174:R174)</f>
        <v>400</v>
      </c>
      <c r="G174" s="32">
        <v>0</v>
      </c>
      <c r="H174" s="32">
        <v>0</v>
      </c>
      <c r="I174" s="32">
        <v>0</v>
      </c>
      <c r="J174" s="32">
        <v>390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3">
        <v>10</v>
      </c>
    </row>
    <row r="175" spans="1:19" x14ac:dyDescent="0.25">
      <c r="A175" s="123">
        <v>902</v>
      </c>
      <c r="B175" s="124" t="s">
        <v>183</v>
      </c>
      <c r="C175" s="125" t="s">
        <v>213</v>
      </c>
      <c r="D175" s="127">
        <f t="shared" si="15"/>
        <v>0</v>
      </c>
      <c r="E175" s="24">
        <v>0</v>
      </c>
      <c r="F175" s="127">
        <f>SUM(G175:R175)</f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3">
        <v>0</v>
      </c>
    </row>
    <row r="176" spans="1:19" x14ac:dyDescent="0.25">
      <c r="A176" s="123">
        <v>902</v>
      </c>
      <c r="B176" s="124" t="s">
        <v>101</v>
      </c>
      <c r="C176" s="125" t="s">
        <v>203</v>
      </c>
      <c r="D176" s="127">
        <f t="shared" si="15"/>
        <v>0</v>
      </c>
      <c r="E176" s="24">
        <v>550</v>
      </c>
      <c r="F176" s="127">
        <f>SUM(G176:R176)</f>
        <v>550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3">
        <v>550</v>
      </c>
    </row>
    <row r="177" spans="1:19" x14ac:dyDescent="0.25">
      <c r="A177" s="123">
        <v>902</v>
      </c>
      <c r="B177" s="124" t="s">
        <v>104</v>
      </c>
      <c r="C177" s="125" t="s">
        <v>191</v>
      </c>
      <c r="D177" s="127">
        <f t="shared" si="15"/>
        <v>0</v>
      </c>
      <c r="E177" s="24">
        <v>0</v>
      </c>
      <c r="F177" s="127">
        <f>SUM(G177:R177)</f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3">
        <v>0</v>
      </c>
    </row>
    <row r="178" spans="1:19" x14ac:dyDescent="0.25">
      <c r="A178" s="123">
        <v>902</v>
      </c>
      <c r="B178" s="124" t="s">
        <v>205</v>
      </c>
      <c r="C178" s="125" t="s">
        <v>206</v>
      </c>
      <c r="D178" s="127">
        <f t="shared" si="15"/>
        <v>23</v>
      </c>
      <c r="E178" s="24">
        <v>1000</v>
      </c>
      <c r="F178" s="127">
        <f>SUM(G178:R178)</f>
        <v>1000</v>
      </c>
      <c r="G178" s="32">
        <v>0</v>
      </c>
      <c r="H178" s="69">
        <v>23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3">
        <v>977</v>
      </c>
    </row>
    <row r="179" spans="1:19" x14ac:dyDescent="0.25">
      <c r="A179" s="123">
        <v>902</v>
      </c>
      <c r="B179" s="124" t="s">
        <v>100</v>
      </c>
      <c r="C179" s="125" t="s">
        <v>179</v>
      </c>
      <c r="D179" s="127">
        <f t="shared" si="15"/>
        <v>0</v>
      </c>
      <c r="E179" s="24">
        <v>0</v>
      </c>
      <c r="F179" s="127">
        <f>SUM(G179:R179)</f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3">
        <v>0</v>
      </c>
    </row>
    <row r="180" spans="1:19" x14ac:dyDescent="0.25">
      <c r="A180" s="123">
        <v>902</v>
      </c>
      <c r="B180" s="124" t="s">
        <v>115</v>
      </c>
      <c r="C180" s="125" t="s">
        <v>124</v>
      </c>
      <c r="D180" s="127">
        <f t="shared" si="15"/>
        <v>0</v>
      </c>
      <c r="E180" s="24">
        <v>800</v>
      </c>
      <c r="F180" s="127">
        <f>SUM(G180:R180)</f>
        <v>800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3">
        <v>800</v>
      </c>
    </row>
    <row r="181" spans="1:19" ht="12" x14ac:dyDescent="0.25">
      <c r="A181" s="123">
        <v>902</v>
      </c>
      <c r="B181" s="124" t="s">
        <v>116</v>
      </c>
      <c r="C181" s="125" t="s">
        <v>180</v>
      </c>
      <c r="D181" s="127">
        <f t="shared" si="15"/>
        <v>0</v>
      </c>
      <c r="E181" s="24">
        <v>500</v>
      </c>
      <c r="F181" s="127">
        <f>SUM(G181:R181)</f>
        <v>500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3">
        <v>500</v>
      </c>
      <c r="S181" s="6">
        <v>0</v>
      </c>
    </row>
    <row r="182" spans="1:19" x14ac:dyDescent="0.25">
      <c r="A182" s="123">
        <v>902</v>
      </c>
      <c r="B182" s="124" t="s">
        <v>117</v>
      </c>
      <c r="C182" s="125" t="s">
        <v>125</v>
      </c>
      <c r="D182" s="127">
        <f t="shared" si="15"/>
        <v>0</v>
      </c>
      <c r="E182" s="24">
        <v>200</v>
      </c>
      <c r="F182" s="127">
        <f>SUM(G182:R182)</f>
        <v>200</v>
      </c>
      <c r="G182" s="32">
        <v>0</v>
      </c>
      <c r="H182" s="32">
        <v>-246.71</v>
      </c>
      <c r="I182" s="32">
        <v>0</v>
      </c>
      <c r="J182" s="32">
        <v>0</v>
      </c>
      <c r="K182" s="32">
        <v>0</v>
      </c>
      <c r="L182" s="32">
        <v>246.71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3">
        <v>200</v>
      </c>
    </row>
    <row r="183" spans="1:19" x14ac:dyDescent="0.25">
      <c r="A183" s="123">
        <v>902</v>
      </c>
      <c r="B183" s="124" t="s">
        <v>118</v>
      </c>
      <c r="C183" s="125" t="s">
        <v>110</v>
      </c>
      <c r="D183" s="127">
        <f t="shared" si="15"/>
        <v>0</v>
      </c>
      <c r="E183" s="24">
        <v>0</v>
      </c>
      <c r="F183" s="127">
        <f>SUM(G183:R183)</f>
        <v>0</v>
      </c>
      <c r="G183" s="32">
        <v>246.71</v>
      </c>
      <c r="H183" s="32">
        <v>0</v>
      </c>
      <c r="I183" s="32">
        <v>0</v>
      </c>
      <c r="J183" s="32">
        <v>0</v>
      </c>
      <c r="K183" s="32">
        <v>0</v>
      </c>
      <c r="L183" s="32">
        <v>-246.71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3">
        <v>0</v>
      </c>
    </row>
    <row r="184" spans="1:19" x14ac:dyDescent="0.25">
      <c r="A184" s="123">
        <v>902</v>
      </c>
      <c r="B184" s="124" t="s">
        <v>119</v>
      </c>
      <c r="C184" s="125" t="s">
        <v>111</v>
      </c>
      <c r="D184" s="127">
        <f t="shared" si="15"/>
        <v>0</v>
      </c>
      <c r="E184" s="24">
        <v>0</v>
      </c>
      <c r="F184" s="127">
        <f>SUM(G184:R184)</f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3">
        <v>0</v>
      </c>
    </row>
    <row r="185" spans="1:19" x14ac:dyDescent="0.25">
      <c r="A185" s="123">
        <v>902</v>
      </c>
      <c r="B185" s="124" t="s">
        <v>120</v>
      </c>
      <c r="C185" s="125" t="s">
        <v>274</v>
      </c>
      <c r="D185" s="127">
        <f t="shared" si="15"/>
        <v>205</v>
      </c>
      <c r="E185" s="24">
        <v>1000</v>
      </c>
      <c r="F185" s="127">
        <f>SUM(G185:R185)</f>
        <v>1000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205</v>
      </c>
      <c r="P185" s="32">
        <v>0</v>
      </c>
      <c r="Q185" s="32">
        <v>0</v>
      </c>
      <c r="R185" s="33">
        <v>795</v>
      </c>
    </row>
    <row r="186" spans="1:19" x14ac:dyDescent="0.25">
      <c r="A186" s="123">
        <v>902</v>
      </c>
      <c r="B186" s="124" t="s">
        <v>121</v>
      </c>
      <c r="C186" s="125" t="s">
        <v>181</v>
      </c>
      <c r="D186" s="127">
        <f t="shared" si="15"/>
        <v>0</v>
      </c>
      <c r="E186" s="24">
        <v>1000</v>
      </c>
      <c r="F186" s="127">
        <f>SUM(G186:R186)</f>
        <v>1000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3">
        <v>1000</v>
      </c>
    </row>
    <row r="187" spans="1:19" x14ac:dyDescent="0.25">
      <c r="A187" s="123">
        <v>902</v>
      </c>
      <c r="B187" s="124" t="s">
        <v>122</v>
      </c>
      <c r="C187" s="125" t="s">
        <v>275</v>
      </c>
      <c r="D187" s="127">
        <f t="shared" si="15"/>
        <v>1777.94</v>
      </c>
      <c r="E187" s="24">
        <v>2000</v>
      </c>
      <c r="F187" s="127">
        <f>SUM(G187:R187)</f>
        <v>2000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42</v>
      </c>
      <c r="M187" s="32">
        <v>0</v>
      </c>
      <c r="N187" s="32">
        <v>0</v>
      </c>
      <c r="O187" s="32">
        <v>1735.94</v>
      </c>
      <c r="P187" s="32">
        <v>0</v>
      </c>
      <c r="Q187" s="32">
        <v>0</v>
      </c>
      <c r="R187" s="33">
        <v>222.06</v>
      </c>
    </row>
    <row r="188" spans="1:19" x14ac:dyDescent="0.25">
      <c r="A188" s="123">
        <v>902</v>
      </c>
      <c r="B188" s="124" t="s">
        <v>123</v>
      </c>
      <c r="C188" s="125" t="s">
        <v>126</v>
      </c>
      <c r="D188" s="127">
        <f t="shared" si="15"/>
        <v>0</v>
      </c>
      <c r="E188" s="24">
        <v>0</v>
      </c>
      <c r="F188" s="127">
        <f>SUM(G188:R188)</f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3">
        <v>0</v>
      </c>
    </row>
    <row r="189" spans="1:19" x14ac:dyDescent="0.25">
      <c r="A189" s="123">
        <v>902</v>
      </c>
      <c r="B189" s="124" t="s">
        <v>240</v>
      </c>
      <c r="C189" s="125" t="s">
        <v>80</v>
      </c>
      <c r="D189" s="127">
        <f t="shared" si="15"/>
        <v>0</v>
      </c>
      <c r="E189" s="24">
        <v>0</v>
      </c>
      <c r="F189" s="127">
        <f>SUM(G189:R189)</f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34">
        <v>0</v>
      </c>
    </row>
    <row r="190" spans="1:19" x14ac:dyDescent="0.25">
      <c r="A190" s="123"/>
      <c r="B190" s="124"/>
      <c r="C190" s="125" t="s">
        <v>239</v>
      </c>
      <c r="D190" s="128">
        <f t="shared" ref="D190:R190" si="16">SUM(D166:D189)</f>
        <v>10439.140000000001</v>
      </c>
      <c r="E190" s="43">
        <f>SUM(E166:E189)</f>
        <v>17400</v>
      </c>
      <c r="F190" s="128">
        <f t="shared" si="16"/>
        <v>17400</v>
      </c>
      <c r="G190" s="43">
        <f t="shared" si="16"/>
        <v>414.11</v>
      </c>
      <c r="H190" s="43">
        <f t="shared" si="16"/>
        <v>76.289999999999992</v>
      </c>
      <c r="I190" s="43">
        <f t="shared" si="16"/>
        <v>0</v>
      </c>
      <c r="J190" s="43">
        <f t="shared" si="16"/>
        <v>2116.8000000000002</v>
      </c>
      <c r="K190" s="43">
        <f t="shared" si="16"/>
        <v>200</v>
      </c>
      <c r="L190" s="43">
        <f t="shared" si="16"/>
        <v>317</v>
      </c>
      <c r="M190" s="43">
        <f t="shared" si="16"/>
        <v>5374</v>
      </c>
      <c r="N190" s="43">
        <f t="shared" si="16"/>
        <v>0</v>
      </c>
      <c r="O190" s="43">
        <f t="shared" si="16"/>
        <v>1940.94</v>
      </c>
      <c r="P190" s="43">
        <f t="shared" si="16"/>
        <v>0</v>
      </c>
      <c r="Q190" s="43">
        <f t="shared" si="16"/>
        <v>0</v>
      </c>
      <c r="R190" s="35">
        <f t="shared" si="16"/>
        <v>6960.8600000000006</v>
      </c>
    </row>
    <row r="191" spans="1:19" s="48" customFormat="1" x14ac:dyDescent="0.25">
      <c r="A191" s="66"/>
      <c r="B191" s="74"/>
      <c r="C191" s="146" t="s">
        <v>265</v>
      </c>
      <c r="D191" s="147">
        <f>+D164-D190</f>
        <v>417.85999999999876</v>
      </c>
      <c r="E191" s="42">
        <f>+E164-E190</f>
        <v>-5400</v>
      </c>
      <c r="F191" s="147">
        <f>+F164-F190</f>
        <v>-5400</v>
      </c>
      <c r="G191" s="147"/>
      <c r="H191" s="147"/>
      <c r="I191" s="147">
        <f t="shared" ref="I191:R191" si="17">+I164-I190</f>
        <v>1250</v>
      </c>
      <c r="J191" s="147">
        <f t="shared" si="17"/>
        <v>-1503.8000000000002</v>
      </c>
      <c r="K191" s="147">
        <f t="shared" si="17"/>
        <v>313</v>
      </c>
      <c r="L191" s="147">
        <f t="shared" si="17"/>
        <v>437</v>
      </c>
      <c r="M191" s="147">
        <f t="shared" si="17"/>
        <v>-5264</v>
      </c>
      <c r="N191" s="147">
        <f t="shared" si="17"/>
        <v>118</v>
      </c>
      <c r="O191" s="147">
        <f t="shared" si="17"/>
        <v>-135.94000000000005</v>
      </c>
      <c r="P191" s="147">
        <f t="shared" si="17"/>
        <v>338</v>
      </c>
      <c r="Q191" s="147">
        <f t="shared" si="17"/>
        <v>0</v>
      </c>
      <c r="R191" s="147">
        <f t="shared" si="17"/>
        <v>-5817.8600000000006</v>
      </c>
      <c r="S191" s="95"/>
    </row>
    <row r="192" spans="1:19" s="48" customFormat="1" x14ac:dyDescent="0.25">
      <c r="B192" s="88"/>
      <c r="C192" s="89"/>
      <c r="D192" s="7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95"/>
    </row>
    <row r="193" spans="1:19" x14ac:dyDescent="0.25">
      <c r="A193" s="120">
        <v>803</v>
      </c>
      <c r="B193" s="121"/>
      <c r="C193" s="122" t="s">
        <v>231</v>
      </c>
      <c r="D193" s="129">
        <f>SUM(G193:Q193)</f>
        <v>21296.25</v>
      </c>
      <c r="E193" s="45">
        <v>20800</v>
      </c>
      <c r="F193" s="129">
        <f>SUM(G193:R193)</f>
        <v>21296.25</v>
      </c>
      <c r="G193" s="43">
        <v>0</v>
      </c>
      <c r="H193" s="43">
        <v>0</v>
      </c>
      <c r="I193" s="43">
        <v>0</v>
      </c>
      <c r="J193" s="43">
        <v>0</v>
      </c>
      <c r="K193" s="43">
        <v>1700</v>
      </c>
      <c r="L193" s="43">
        <f>5971.25+7675</f>
        <v>13646.25</v>
      </c>
      <c r="M193" s="43">
        <f>2975+2975</f>
        <v>5950</v>
      </c>
      <c r="N193" s="43">
        <v>0</v>
      </c>
      <c r="O193" s="43">
        <v>0</v>
      </c>
      <c r="P193" s="43">
        <v>0</v>
      </c>
      <c r="Q193" s="43">
        <v>0</v>
      </c>
      <c r="R193" s="35">
        <v>0</v>
      </c>
    </row>
    <row r="194" spans="1:19" x14ac:dyDescent="0.25">
      <c r="A194" s="120">
        <v>903</v>
      </c>
      <c r="B194" s="121"/>
      <c r="C194" s="122" t="s">
        <v>246</v>
      </c>
      <c r="D194" s="129">
        <f>SUM(G194:Q194)</f>
        <v>6982.5</v>
      </c>
      <c r="E194" s="45">
        <v>20800</v>
      </c>
      <c r="F194" s="129">
        <f>SUM(G194:R194)</f>
        <v>21283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425</v>
      </c>
      <c r="O194" s="43">
        <v>607.5</v>
      </c>
      <c r="P194" s="43">
        <v>5950</v>
      </c>
      <c r="Q194" s="43">
        <v>0</v>
      </c>
      <c r="R194" s="35">
        <v>14300.5</v>
      </c>
    </row>
    <row r="195" spans="1:19" s="3" customFormat="1" x14ac:dyDescent="0.25">
      <c r="A195" s="105"/>
      <c r="B195" s="106"/>
      <c r="C195" s="23" t="s">
        <v>266</v>
      </c>
      <c r="D195" s="107">
        <f>+D193-D194</f>
        <v>14313.75</v>
      </c>
      <c r="E195" s="97">
        <f>+E193-E194</f>
        <v>0</v>
      </c>
      <c r="F195" s="41">
        <f>SUM(G195:R195)</f>
        <v>13.25</v>
      </c>
      <c r="G195" s="107">
        <f t="shared" ref="G195:R195" si="18">+G193-G194</f>
        <v>0</v>
      </c>
      <c r="H195" s="107">
        <f t="shared" si="18"/>
        <v>0</v>
      </c>
      <c r="I195" s="107">
        <f t="shared" si="18"/>
        <v>0</v>
      </c>
      <c r="J195" s="107">
        <f t="shared" si="18"/>
        <v>0</v>
      </c>
      <c r="K195" s="107">
        <f t="shared" si="18"/>
        <v>1700</v>
      </c>
      <c r="L195" s="107">
        <f t="shared" si="18"/>
        <v>13646.25</v>
      </c>
      <c r="M195" s="107">
        <f t="shared" si="18"/>
        <v>5950</v>
      </c>
      <c r="N195" s="107">
        <f t="shared" si="18"/>
        <v>-425</v>
      </c>
      <c r="O195" s="107">
        <f t="shared" si="18"/>
        <v>-607.5</v>
      </c>
      <c r="P195" s="107">
        <f t="shared" si="18"/>
        <v>-5950</v>
      </c>
      <c r="Q195" s="107">
        <f t="shared" si="18"/>
        <v>0</v>
      </c>
      <c r="R195" s="107">
        <f t="shared" si="18"/>
        <v>-14300.5</v>
      </c>
      <c r="S195" s="96"/>
    </row>
    <row r="196" spans="1:19" x14ac:dyDescent="0.25">
      <c r="E196" s="71"/>
      <c r="O196" s="48"/>
      <c r="P196" s="48"/>
    </row>
    <row r="197" spans="1:19" x14ac:dyDescent="0.25">
      <c r="A197" s="60">
        <v>804</v>
      </c>
      <c r="B197" s="61"/>
      <c r="C197" s="62" t="s">
        <v>232</v>
      </c>
      <c r="D197" s="73">
        <f>SUM(G197:Q197)</f>
        <v>410.38</v>
      </c>
      <c r="E197" s="45">
        <v>1500</v>
      </c>
      <c r="F197" s="73">
        <f>SUM(G197:R197)</f>
        <v>1500</v>
      </c>
      <c r="G197" s="43">
        <v>225</v>
      </c>
      <c r="H197" s="43">
        <v>185.38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35">
        <v>1089.6199999999999</v>
      </c>
    </row>
    <row r="198" spans="1:19" x14ac:dyDescent="0.25">
      <c r="A198" s="60">
        <v>904</v>
      </c>
      <c r="B198" s="61"/>
      <c r="C198" s="62" t="s">
        <v>241</v>
      </c>
      <c r="D198" s="73">
        <f>SUM(G198:Q198)</f>
        <v>121.97</v>
      </c>
      <c r="E198" s="70">
        <v>1000</v>
      </c>
      <c r="F198" s="73">
        <f>SUM(G198:R198)</f>
        <v>1000</v>
      </c>
      <c r="G198" s="42">
        <v>0</v>
      </c>
      <c r="H198" s="42">
        <v>121.97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34">
        <v>878.03</v>
      </c>
    </row>
    <row r="199" spans="1:19" s="3" customFormat="1" x14ac:dyDescent="0.25">
      <c r="A199" s="105"/>
      <c r="B199" s="106"/>
      <c r="C199" s="23" t="s">
        <v>267</v>
      </c>
      <c r="D199" s="107">
        <f>+D197-D198</f>
        <v>288.40999999999997</v>
      </c>
      <c r="E199" s="97">
        <f>+E197-E198</f>
        <v>500</v>
      </c>
      <c r="F199" s="41">
        <f>SUM(G199:R199)</f>
        <v>499.99999999999989</v>
      </c>
      <c r="G199" s="107">
        <f t="shared" ref="G199:R199" si="19">+G197-G198</f>
        <v>225</v>
      </c>
      <c r="H199" s="107">
        <f t="shared" si="19"/>
        <v>63.41</v>
      </c>
      <c r="I199" s="107">
        <f t="shared" si="19"/>
        <v>0</v>
      </c>
      <c r="J199" s="107">
        <f t="shared" si="19"/>
        <v>0</v>
      </c>
      <c r="K199" s="107">
        <f t="shared" si="19"/>
        <v>0</v>
      </c>
      <c r="L199" s="107">
        <f t="shared" si="19"/>
        <v>0</v>
      </c>
      <c r="M199" s="107">
        <f t="shared" si="19"/>
        <v>0</v>
      </c>
      <c r="N199" s="107">
        <f t="shared" si="19"/>
        <v>0</v>
      </c>
      <c r="O199" s="107">
        <f t="shared" si="19"/>
        <v>0</v>
      </c>
      <c r="P199" s="107">
        <f t="shared" si="19"/>
        <v>0</v>
      </c>
      <c r="Q199" s="107">
        <f t="shared" si="19"/>
        <v>0</v>
      </c>
      <c r="R199" s="107">
        <f t="shared" si="19"/>
        <v>211.58999999999992</v>
      </c>
      <c r="S199" s="96"/>
    </row>
    <row r="200" spans="1:19" x14ac:dyDescent="0.25">
      <c r="E200" s="71"/>
      <c r="O200" s="48"/>
      <c r="P200" s="48"/>
    </row>
    <row r="201" spans="1:19" x14ac:dyDescent="0.25">
      <c r="A201" s="135">
        <v>806</v>
      </c>
      <c r="B201" s="136"/>
      <c r="C201" s="39" t="s">
        <v>251</v>
      </c>
      <c r="D201" s="137">
        <f>SUM(G201:Q201)</f>
        <v>4887.9699999999993</v>
      </c>
      <c r="E201" s="45">
        <v>6000</v>
      </c>
      <c r="F201" s="137">
        <f>SUM(G201:R201)</f>
        <v>5887.9699999999993</v>
      </c>
      <c r="G201" s="43">
        <v>165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120</v>
      </c>
      <c r="N201" s="43">
        <v>300</v>
      </c>
      <c r="O201" s="43">
        <v>858.3</v>
      </c>
      <c r="P201" s="43">
        <v>2353.69</v>
      </c>
      <c r="Q201" s="43">
        <v>1090.98</v>
      </c>
      <c r="R201" s="35">
        <v>1000</v>
      </c>
    </row>
    <row r="202" spans="1:19" x14ac:dyDescent="0.25">
      <c r="A202" s="135">
        <v>906</v>
      </c>
      <c r="B202" s="136"/>
      <c r="C202" s="39" t="s">
        <v>252</v>
      </c>
      <c r="D202" s="137">
        <f>SUM(G202:Q202)</f>
        <v>4122.24</v>
      </c>
      <c r="E202" s="70">
        <v>5400</v>
      </c>
      <c r="F202" s="138">
        <f>SUM(G202:R202)</f>
        <v>5872.24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1095</v>
      </c>
      <c r="M202" s="42">
        <v>0</v>
      </c>
      <c r="N202" s="42">
        <v>0</v>
      </c>
      <c r="O202" s="42">
        <v>0</v>
      </c>
      <c r="P202" s="42">
        <v>100</v>
      </c>
      <c r="Q202" s="42">
        <v>2927.24</v>
      </c>
      <c r="R202" s="34">
        <v>1750</v>
      </c>
    </row>
    <row r="203" spans="1:19" s="3" customFormat="1" x14ac:dyDescent="0.25">
      <c r="A203" s="105"/>
      <c r="B203" s="106"/>
      <c r="C203" s="23" t="s">
        <v>268</v>
      </c>
      <c r="D203" s="107">
        <f>+D201-D202</f>
        <v>765.72999999999956</v>
      </c>
      <c r="E203" s="97">
        <f>+E201-E202</f>
        <v>600</v>
      </c>
      <c r="F203" s="107">
        <f>+F201-F202</f>
        <v>15.729999999999563</v>
      </c>
      <c r="G203" s="107">
        <f t="shared" ref="G203:R203" si="20">+G201-G202</f>
        <v>165</v>
      </c>
      <c r="H203" s="107">
        <f t="shared" si="20"/>
        <v>0</v>
      </c>
      <c r="I203" s="107">
        <f t="shared" si="20"/>
        <v>0</v>
      </c>
      <c r="J203" s="107">
        <f t="shared" si="20"/>
        <v>0</v>
      </c>
      <c r="K203" s="107">
        <f t="shared" si="20"/>
        <v>0</v>
      </c>
      <c r="L203" s="107">
        <f t="shared" si="20"/>
        <v>-1095</v>
      </c>
      <c r="M203" s="107">
        <f t="shared" si="20"/>
        <v>120</v>
      </c>
      <c r="N203" s="107">
        <f t="shared" si="20"/>
        <v>300</v>
      </c>
      <c r="O203" s="107">
        <f t="shared" si="20"/>
        <v>858.3</v>
      </c>
      <c r="P203" s="107">
        <f t="shared" si="20"/>
        <v>2253.69</v>
      </c>
      <c r="Q203" s="107">
        <f t="shared" si="20"/>
        <v>-1836.2599999999998</v>
      </c>
      <c r="R203" s="107">
        <f t="shared" si="20"/>
        <v>-750</v>
      </c>
      <c r="S203" s="96"/>
    </row>
    <row r="204" spans="1:19" x14ac:dyDescent="0.25">
      <c r="E204" s="71"/>
      <c r="O204" s="48"/>
      <c r="P204" s="48"/>
    </row>
    <row r="205" spans="1:19" x14ac:dyDescent="0.25">
      <c r="A205" s="63">
        <v>808</v>
      </c>
      <c r="B205" s="64"/>
      <c r="C205" s="65" t="s">
        <v>233</v>
      </c>
      <c r="D205" s="75">
        <f>SUM(G205:Q205)</f>
        <v>100</v>
      </c>
      <c r="E205" s="45">
        <v>100</v>
      </c>
      <c r="F205" s="75">
        <f>SUM(G205:R205)</f>
        <v>100</v>
      </c>
      <c r="G205" s="43">
        <v>0</v>
      </c>
      <c r="H205" s="43">
        <v>0</v>
      </c>
      <c r="I205" s="43">
        <v>0</v>
      </c>
      <c r="J205" s="43">
        <v>20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70</v>
      </c>
      <c r="Q205" s="43">
        <v>10</v>
      </c>
      <c r="R205" s="35">
        <v>0</v>
      </c>
    </row>
    <row r="206" spans="1:19" x14ac:dyDescent="0.25">
      <c r="A206" s="63">
        <v>908</v>
      </c>
      <c r="B206" s="64"/>
      <c r="C206" s="65" t="s">
        <v>242</v>
      </c>
      <c r="D206" s="75">
        <f>SUM(G206:Q206)</f>
        <v>100</v>
      </c>
      <c r="E206" s="70">
        <v>150</v>
      </c>
      <c r="F206" s="76">
        <f>SUM(G206:R206)</f>
        <v>100</v>
      </c>
      <c r="G206" s="42">
        <v>0</v>
      </c>
      <c r="H206" s="42">
        <v>0</v>
      </c>
      <c r="I206" s="42">
        <v>0</v>
      </c>
      <c r="J206" s="42">
        <v>50</v>
      </c>
      <c r="K206" s="42">
        <v>0</v>
      </c>
      <c r="L206" s="42">
        <v>0</v>
      </c>
      <c r="M206" s="42">
        <v>0</v>
      </c>
      <c r="N206" s="42">
        <v>50</v>
      </c>
      <c r="O206" s="42">
        <v>0</v>
      </c>
      <c r="P206" s="42">
        <v>0</v>
      </c>
      <c r="Q206" s="42">
        <v>0</v>
      </c>
      <c r="R206" s="34">
        <v>0</v>
      </c>
    </row>
    <row r="207" spans="1:19" s="3" customFormat="1" x14ac:dyDescent="0.25">
      <c r="A207" s="105"/>
      <c r="B207" s="106"/>
      <c r="C207" s="23" t="s">
        <v>269</v>
      </c>
      <c r="D207" s="107">
        <f>+D205-D206</f>
        <v>0</v>
      </c>
      <c r="E207" s="97">
        <f>+E205-E206</f>
        <v>-50</v>
      </c>
      <c r="F207" s="107">
        <f>+F205-F206</f>
        <v>0</v>
      </c>
      <c r="G207" s="107">
        <f t="shared" ref="G207:R207" si="21">+G205-G206</f>
        <v>0</v>
      </c>
      <c r="H207" s="107">
        <f t="shared" si="21"/>
        <v>0</v>
      </c>
      <c r="I207" s="107">
        <f t="shared" si="21"/>
        <v>0</v>
      </c>
      <c r="J207" s="107">
        <f t="shared" si="21"/>
        <v>-30</v>
      </c>
      <c r="K207" s="107">
        <f t="shared" si="21"/>
        <v>0</v>
      </c>
      <c r="L207" s="107">
        <f t="shared" si="21"/>
        <v>0</v>
      </c>
      <c r="M207" s="107">
        <f t="shared" si="21"/>
        <v>0</v>
      </c>
      <c r="N207" s="107">
        <f t="shared" si="21"/>
        <v>-50</v>
      </c>
      <c r="O207" s="107">
        <f t="shared" si="21"/>
        <v>0</v>
      </c>
      <c r="P207" s="107">
        <f t="shared" si="21"/>
        <v>70</v>
      </c>
      <c r="Q207" s="107">
        <f t="shared" si="21"/>
        <v>10</v>
      </c>
      <c r="R207" s="107">
        <f t="shared" si="21"/>
        <v>0</v>
      </c>
      <c r="S207" s="96"/>
    </row>
    <row r="208" spans="1:19" x14ac:dyDescent="0.25">
      <c r="E208" s="71"/>
      <c r="O208" s="48"/>
      <c r="P208" s="48"/>
    </row>
    <row r="209" spans="1:19" x14ac:dyDescent="0.25">
      <c r="A209" s="139">
        <v>809</v>
      </c>
      <c r="B209" s="140"/>
      <c r="C209" s="132" t="s">
        <v>234</v>
      </c>
      <c r="D209" s="134">
        <f>SUM(G209:Q209)</f>
        <v>0</v>
      </c>
      <c r="E209" s="97">
        <v>0</v>
      </c>
      <c r="F209" s="134">
        <f>SUM(G209:R209)</f>
        <v>570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35">
        <v>570</v>
      </c>
    </row>
    <row r="210" spans="1:19" x14ac:dyDescent="0.25">
      <c r="A210" s="130">
        <v>909</v>
      </c>
      <c r="B210" s="131"/>
      <c r="C210" s="132" t="s">
        <v>243</v>
      </c>
      <c r="D210" s="134">
        <f>SUM(G210:Q210)</f>
        <v>0</v>
      </c>
      <c r="E210" s="70">
        <v>0</v>
      </c>
      <c r="F210" s="133">
        <f>SUM(G210:R210)</f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34">
        <v>0</v>
      </c>
    </row>
    <row r="211" spans="1:19" s="3" customFormat="1" x14ac:dyDescent="0.25">
      <c r="A211" s="105"/>
      <c r="B211" s="106"/>
      <c r="C211" s="23" t="s">
        <v>270</v>
      </c>
      <c r="D211" s="107">
        <f>+D209-D210</f>
        <v>0</v>
      </c>
      <c r="E211" s="97">
        <f>+E209-E210</f>
        <v>0</v>
      </c>
      <c r="F211" s="107">
        <f>+F209-F210</f>
        <v>570</v>
      </c>
      <c r="G211" s="148"/>
      <c r="H211" s="148"/>
      <c r="I211" s="107">
        <f t="shared" ref="I211:O211" si="22">+I209-I210</f>
        <v>0</v>
      </c>
      <c r="J211" s="107">
        <f t="shared" si="22"/>
        <v>0</v>
      </c>
      <c r="K211" s="107">
        <f t="shared" si="22"/>
        <v>0</v>
      </c>
      <c r="L211" s="107">
        <f t="shared" si="22"/>
        <v>0</v>
      </c>
      <c r="M211" s="107">
        <f t="shared" si="22"/>
        <v>0</v>
      </c>
      <c r="N211" s="107">
        <f t="shared" si="22"/>
        <v>0</v>
      </c>
      <c r="O211" s="107">
        <f t="shared" si="22"/>
        <v>0</v>
      </c>
      <c r="P211" s="148"/>
      <c r="Q211" s="148"/>
      <c r="R211" s="148"/>
      <c r="S211" s="96"/>
    </row>
    <row r="212" spans="1:19" x14ac:dyDescent="0.25">
      <c r="E212" s="71"/>
      <c r="O212" s="48"/>
      <c r="P212" s="48"/>
    </row>
    <row r="213" spans="1:19" x14ac:dyDescent="0.25">
      <c r="A213" s="141">
        <v>811</v>
      </c>
      <c r="B213" s="142"/>
      <c r="C213" s="114" t="s">
        <v>235</v>
      </c>
      <c r="D213" s="143">
        <f>SUM(G213:Q213)</f>
        <v>570</v>
      </c>
      <c r="E213" s="45">
        <v>500</v>
      </c>
      <c r="F213" s="143">
        <f>SUM(G213:R213)</f>
        <v>570</v>
      </c>
      <c r="G213" s="43">
        <v>570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35">
        <v>0</v>
      </c>
    </row>
    <row r="214" spans="1:19" x14ac:dyDescent="0.25">
      <c r="A214" s="141">
        <v>911</v>
      </c>
      <c r="B214" s="142"/>
      <c r="C214" s="114" t="s">
        <v>244</v>
      </c>
      <c r="D214" s="143">
        <f>SUM(G214:Q214)</f>
        <v>0</v>
      </c>
      <c r="E214" s="70">
        <v>0</v>
      </c>
      <c r="F214" s="144">
        <f>SUM(G214:R214)</f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34">
        <v>0</v>
      </c>
    </row>
    <row r="215" spans="1:19" s="3" customFormat="1" x14ac:dyDescent="0.25">
      <c r="A215" s="105"/>
      <c r="B215" s="106"/>
      <c r="C215" s="23" t="s">
        <v>271</v>
      </c>
      <c r="D215" s="107">
        <f>+D213-D214</f>
        <v>570</v>
      </c>
      <c r="E215" s="97">
        <f>+E213-E214</f>
        <v>500</v>
      </c>
      <c r="F215" s="107">
        <f>+F213-F214</f>
        <v>570</v>
      </c>
      <c r="G215" s="107">
        <f t="shared" ref="G215:O215" si="23">+G213-G214</f>
        <v>570</v>
      </c>
      <c r="H215" s="107">
        <f t="shared" si="23"/>
        <v>0</v>
      </c>
      <c r="I215" s="107">
        <f t="shared" si="23"/>
        <v>0</v>
      </c>
      <c r="J215" s="107">
        <f t="shared" si="23"/>
        <v>0</v>
      </c>
      <c r="K215" s="107">
        <f t="shared" si="23"/>
        <v>0</v>
      </c>
      <c r="L215" s="107">
        <f t="shared" si="23"/>
        <v>0</v>
      </c>
      <c r="M215" s="107">
        <f t="shared" si="23"/>
        <v>0</v>
      </c>
      <c r="N215" s="107">
        <f t="shared" si="23"/>
        <v>0</v>
      </c>
      <c r="O215" s="107">
        <f t="shared" si="23"/>
        <v>0</v>
      </c>
      <c r="P215" s="148"/>
      <c r="Q215" s="148"/>
      <c r="R215" s="148"/>
      <c r="S215" s="96"/>
    </row>
    <row r="216" spans="1:19" x14ac:dyDescent="0.25">
      <c r="D216" s="9"/>
      <c r="E216" s="71"/>
      <c r="O216" s="48"/>
      <c r="P216" s="48"/>
    </row>
    <row r="217" spans="1:19" x14ac:dyDescent="0.25">
      <c r="A217" s="78">
        <v>812</v>
      </c>
      <c r="B217" s="79">
        <v>1</v>
      </c>
      <c r="C217" s="77" t="s">
        <v>245</v>
      </c>
      <c r="D217" s="80">
        <f>SUM(G217:Q217)</f>
        <v>559.6</v>
      </c>
      <c r="E217" s="42">
        <v>0</v>
      </c>
      <c r="F217" s="80">
        <f>SUM(G217:R217)</f>
        <v>559.6</v>
      </c>
      <c r="G217" s="42">
        <v>0</v>
      </c>
      <c r="H217" s="42">
        <v>213</v>
      </c>
      <c r="I217" s="42">
        <v>0</v>
      </c>
      <c r="J217" s="42">
        <v>0</v>
      </c>
      <c r="K217" s="42">
        <v>0</v>
      </c>
      <c r="L217" s="42">
        <v>346.6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34">
        <v>0</v>
      </c>
    </row>
    <row r="218" spans="1:19" x14ac:dyDescent="0.25">
      <c r="A218" s="78">
        <v>812</v>
      </c>
      <c r="B218" s="79">
        <v>2</v>
      </c>
      <c r="C218" s="77" t="s">
        <v>272</v>
      </c>
      <c r="D218" s="145">
        <f>SUM(G218:Q218)</f>
        <v>8251.6</v>
      </c>
      <c r="E218" s="43"/>
      <c r="F218" s="145">
        <f>SUM(G218:R218)</f>
        <v>8251.6</v>
      </c>
      <c r="G218" s="43">
        <v>0</v>
      </c>
      <c r="H218" s="92">
        <v>2262.4</v>
      </c>
      <c r="I218" s="43">
        <v>0</v>
      </c>
      <c r="J218" s="43">
        <v>4012.8</v>
      </c>
      <c r="K218" s="43"/>
      <c r="L218" s="43">
        <v>40</v>
      </c>
      <c r="M218" s="43"/>
      <c r="N218" s="43">
        <v>1294.4000000000001</v>
      </c>
      <c r="O218" s="43">
        <v>642</v>
      </c>
      <c r="P218" s="43"/>
      <c r="Q218" s="43"/>
      <c r="R218" s="35"/>
    </row>
    <row r="219" spans="1:19" x14ac:dyDescent="0.25">
      <c r="A219" s="78">
        <v>912</v>
      </c>
      <c r="B219" s="79">
        <v>1</v>
      </c>
      <c r="C219" s="77" t="s">
        <v>247</v>
      </c>
      <c r="D219" s="145">
        <f>SUM(G219:Q219)</f>
        <v>263</v>
      </c>
      <c r="E219" s="42">
        <v>0</v>
      </c>
      <c r="F219" s="80">
        <f>SUM(G219:R219)</f>
        <v>263</v>
      </c>
      <c r="G219" s="42">
        <v>0</v>
      </c>
      <c r="H219" s="42">
        <v>0</v>
      </c>
      <c r="I219" s="42">
        <v>0</v>
      </c>
      <c r="J219" s="42">
        <v>0</v>
      </c>
      <c r="K219" s="42">
        <v>263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34">
        <v>0</v>
      </c>
    </row>
    <row r="220" spans="1:19" x14ac:dyDescent="0.25">
      <c r="A220" s="78">
        <v>912</v>
      </c>
      <c r="B220" s="79">
        <v>2</v>
      </c>
      <c r="C220" s="77" t="s">
        <v>248</v>
      </c>
      <c r="D220" s="145">
        <f>SUM(G220:Q220)</f>
        <v>10675.56</v>
      </c>
      <c r="E220" s="42">
        <v>0</v>
      </c>
      <c r="F220" s="80">
        <f>SUM(G220:R220)</f>
        <v>10675.56</v>
      </c>
      <c r="G220" s="42">
        <v>0</v>
      </c>
      <c r="H220" s="42">
        <v>0</v>
      </c>
      <c r="I220" s="42">
        <v>0</v>
      </c>
      <c r="J220" s="42">
        <v>675.56</v>
      </c>
      <c r="K220" s="42">
        <v>0</v>
      </c>
      <c r="L220" s="42">
        <v>0</v>
      </c>
      <c r="M220" s="51">
        <v>10000</v>
      </c>
      <c r="N220" s="42">
        <v>0</v>
      </c>
      <c r="O220" s="42">
        <v>0</v>
      </c>
      <c r="P220" s="42">
        <v>0</v>
      </c>
      <c r="Q220" s="42">
        <v>0</v>
      </c>
      <c r="R220" s="34">
        <v>0</v>
      </c>
    </row>
    <row r="221" spans="1:19" s="3" customFormat="1" x14ac:dyDescent="0.25">
      <c r="A221" s="105"/>
      <c r="B221" s="106"/>
      <c r="C221" s="23" t="s">
        <v>273</v>
      </c>
      <c r="D221" s="107">
        <f>+D217+D218-D219-D220</f>
        <v>-2127.3599999999988</v>
      </c>
      <c r="E221" s="97">
        <f>+E217+E218-E219-E220</f>
        <v>0</v>
      </c>
      <c r="F221" s="107">
        <f>+F217+F218-F219-F220</f>
        <v>-2127.3599999999988</v>
      </c>
      <c r="G221" s="148"/>
      <c r="H221" s="148"/>
      <c r="I221" s="148"/>
      <c r="J221" s="148"/>
      <c r="K221" s="148"/>
      <c r="L221" s="107">
        <f t="shared" ref="L221:O221" si="24">+L217+L218-L219-L220</f>
        <v>386.6</v>
      </c>
      <c r="M221" s="107">
        <f t="shared" si="24"/>
        <v>-10000</v>
      </c>
      <c r="N221" s="107">
        <f t="shared" si="24"/>
        <v>1294.4000000000001</v>
      </c>
      <c r="O221" s="107">
        <f t="shared" si="24"/>
        <v>642</v>
      </c>
      <c r="P221" s="148"/>
      <c r="Q221" s="148"/>
      <c r="R221" s="148"/>
      <c r="S221" s="96"/>
    </row>
    <row r="222" spans="1:19" x14ac:dyDescent="0.25">
      <c r="E222" s="71"/>
      <c r="O222" s="48"/>
      <c r="P222" s="48"/>
    </row>
    <row r="223" spans="1:19" x14ac:dyDescent="0.25">
      <c r="A223" s="81"/>
      <c r="B223" s="82"/>
      <c r="C223" s="83" t="s">
        <v>249</v>
      </c>
      <c r="D223" s="98">
        <f t="shared" ref="D223:R223" si="25">+D162+D191+D195+D199+D203+D207+D211+D215+D221</f>
        <v>91114.990000000063</v>
      </c>
      <c r="E223" s="43">
        <f>+E162+E191+E195+E199+E203+E207+E211+E215+E221</f>
        <v>-3568.2099999999919</v>
      </c>
      <c r="F223" s="98">
        <f t="shared" si="25"/>
        <v>-9155.7599999999748</v>
      </c>
      <c r="G223" s="98">
        <f t="shared" si="25"/>
        <v>4452.8599999999988</v>
      </c>
      <c r="H223" s="98">
        <f t="shared" si="25"/>
        <v>28927.250000000007</v>
      </c>
      <c r="I223" s="98">
        <f t="shared" si="25"/>
        <v>67036.680000000008</v>
      </c>
      <c r="J223" s="98">
        <f t="shared" si="25"/>
        <v>27338.13</v>
      </c>
      <c r="K223" s="98">
        <f t="shared" si="25"/>
        <v>-5674.3999999999942</v>
      </c>
      <c r="L223" s="98">
        <f t="shared" si="25"/>
        <v>6019.5700000000015</v>
      </c>
      <c r="M223" s="98">
        <f t="shared" si="25"/>
        <v>-16518.93</v>
      </c>
      <c r="N223" s="98">
        <f t="shared" si="25"/>
        <v>-6527.3299999999981</v>
      </c>
      <c r="O223" s="98">
        <f t="shared" si="25"/>
        <v>-17933.75</v>
      </c>
      <c r="P223" s="98">
        <f t="shared" si="25"/>
        <v>-3232.81</v>
      </c>
      <c r="Q223" s="98">
        <f t="shared" si="25"/>
        <v>-3042.9699999999953</v>
      </c>
      <c r="R223" s="98">
        <f t="shared" si="25"/>
        <v>-101840.75000000001</v>
      </c>
    </row>
    <row r="224" spans="1:19" x14ac:dyDescent="0.25">
      <c r="E224" s="71"/>
      <c r="G224" s="48"/>
      <c r="H224" s="48"/>
      <c r="I224" s="44"/>
      <c r="J224" s="44"/>
      <c r="K224" s="44"/>
      <c r="L224" s="44"/>
      <c r="M224" s="44"/>
      <c r="N224" s="44"/>
      <c r="O224" s="44"/>
      <c r="P224" s="48"/>
      <c r="Q224" s="44"/>
      <c r="R224" s="3"/>
    </row>
    <row r="225" spans="5:18" x14ac:dyDescent="0.25">
      <c r="E225" s="71"/>
      <c r="G225" s="48"/>
      <c r="H225" s="48"/>
      <c r="I225" s="44"/>
      <c r="J225" s="44"/>
      <c r="K225" s="44"/>
      <c r="L225" s="44"/>
      <c r="M225" s="44"/>
      <c r="N225" s="44"/>
      <c r="O225" s="44"/>
      <c r="P225" s="48"/>
      <c r="Q225" s="44"/>
      <c r="R225" s="3"/>
    </row>
    <row r="226" spans="5:18" x14ac:dyDescent="0.25">
      <c r="E226" s="71"/>
      <c r="G226" s="48"/>
      <c r="H226" s="48"/>
      <c r="I226" s="44"/>
      <c r="J226" s="44"/>
      <c r="K226" s="44"/>
      <c r="L226" s="44"/>
      <c r="M226" s="44"/>
      <c r="N226" s="44"/>
      <c r="O226" s="24"/>
      <c r="P226" s="48"/>
      <c r="Q226" s="24"/>
      <c r="R226" s="3"/>
    </row>
    <row r="227" spans="5:18" x14ac:dyDescent="0.25">
      <c r="E227" s="71"/>
      <c r="G227" s="48"/>
      <c r="H227" s="48"/>
      <c r="I227" s="44"/>
      <c r="J227" s="44"/>
      <c r="K227" s="44"/>
      <c r="L227" s="44"/>
      <c r="M227" s="44"/>
      <c r="N227" s="44"/>
      <c r="O227" s="44"/>
      <c r="P227" s="48"/>
      <c r="Q227" s="44"/>
      <c r="R227" s="3"/>
    </row>
    <row r="228" spans="5:18" x14ac:dyDescent="0.25">
      <c r="E228" s="71"/>
      <c r="G228" s="48"/>
      <c r="H228" s="48"/>
      <c r="I228" s="44"/>
      <c r="J228" s="44"/>
      <c r="K228" s="44"/>
      <c r="L228" s="44"/>
      <c r="M228" s="44"/>
      <c r="N228" s="44"/>
      <c r="O228" s="44"/>
      <c r="P228" s="48"/>
      <c r="Q228" s="44"/>
      <c r="R228" s="3"/>
    </row>
    <row r="229" spans="5:18" x14ac:dyDescent="0.25">
      <c r="E229" s="71"/>
      <c r="G229" s="48"/>
      <c r="H229" s="48"/>
      <c r="I229" s="44"/>
      <c r="J229" s="44"/>
      <c r="K229" s="44"/>
      <c r="L229" s="44"/>
      <c r="M229" s="44"/>
      <c r="N229" s="44"/>
      <c r="O229" s="44"/>
      <c r="P229" s="48"/>
      <c r="Q229" s="44"/>
      <c r="R229" s="3"/>
    </row>
    <row r="230" spans="5:18" x14ac:dyDescent="0.25">
      <c r="E230" s="71"/>
      <c r="G230" s="48"/>
      <c r="H230" s="48"/>
      <c r="I230" s="44"/>
      <c r="J230" s="44"/>
      <c r="K230" s="44"/>
      <c r="L230" s="44"/>
      <c r="M230" s="44"/>
      <c r="N230" s="44"/>
      <c r="O230" s="44"/>
      <c r="P230" s="48"/>
      <c r="Q230" s="44"/>
      <c r="R230" s="3"/>
    </row>
    <row r="231" spans="5:18" x14ac:dyDescent="0.25">
      <c r="E231" s="71"/>
      <c r="G231" s="48"/>
      <c r="H231" s="48"/>
      <c r="I231" s="44"/>
      <c r="J231" s="44"/>
      <c r="K231" s="44"/>
      <c r="L231" s="44"/>
      <c r="M231" s="44"/>
      <c r="N231" s="44"/>
      <c r="O231" s="44"/>
      <c r="P231" s="48"/>
      <c r="Q231" s="44"/>
      <c r="R231" s="3"/>
    </row>
    <row r="232" spans="5:18" x14ac:dyDescent="0.25">
      <c r="E232" s="71"/>
      <c r="G232" s="48"/>
      <c r="H232" s="48"/>
      <c r="I232" s="44"/>
      <c r="J232" s="44"/>
      <c r="K232" s="44"/>
      <c r="L232" s="44"/>
      <c r="M232" s="44"/>
      <c r="N232" s="44"/>
      <c r="O232" s="44"/>
      <c r="P232" s="48"/>
      <c r="Q232" s="44"/>
      <c r="R232" s="3"/>
    </row>
    <row r="233" spans="5:18" x14ac:dyDescent="0.25">
      <c r="E233" s="71"/>
      <c r="G233" s="48"/>
      <c r="H233" s="48"/>
      <c r="I233" s="44"/>
      <c r="J233" s="44"/>
      <c r="K233" s="44"/>
      <c r="L233" s="44"/>
      <c r="M233" s="44"/>
      <c r="N233" s="44"/>
      <c r="O233" s="44"/>
      <c r="P233" s="48"/>
      <c r="Q233" s="44"/>
      <c r="R233" s="3"/>
    </row>
    <row r="234" spans="5:18" x14ac:dyDescent="0.25">
      <c r="E234" s="71"/>
      <c r="G234" s="48"/>
      <c r="H234" s="48"/>
      <c r="I234" s="44"/>
      <c r="J234" s="44"/>
      <c r="K234" s="44"/>
      <c r="L234" s="44"/>
      <c r="M234" s="44"/>
      <c r="N234" s="44"/>
      <c r="O234" s="44"/>
      <c r="P234" s="48"/>
      <c r="Q234" s="44"/>
      <c r="R234" s="3"/>
    </row>
    <row r="235" spans="5:18" x14ac:dyDescent="0.25">
      <c r="E235" s="71"/>
      <c r="G235" s="48"/>
      <c r="H235" s="48"/>
      <c r="I235" s="44"/>
      <c r="J235" s="44"/>
      <c r="K235" s="44"/>
      <c r="L235" s="44"/>
      <c r="M235" s="44"/>
      <c r="N235" s="44"/>
      <c r="O235" s="44"/>
      <c r="P235" s="48"/>
      <c r="Q235" s="44"/>
      <c r="R235" s="3"/>
    </row>
    <row r="236" spans="5:18" x14ac:dyDescent="0.25">
      <c r="E236" s="71"/>
      <c r="G236" s="48"/>
      <c r="H236" s="48"/>
      <c r="I236" s="44"/>
      <c r="J236" s="44"/>
      <c r="K236" s="44"/>
      <c r="L236" s="44"/>
      <c r="M236" s="44"/>
      <c r="N236" s="44"/>
      <c r="O236" s="44"/>
      <c r="P236" s="48"/>
      <c r="Q236" s="44"/>
      <c r="R236" s="3"/>
    </row>
    <row r="237" spans="5:18" x14ac:dyDescent="0.25">
      <c r="E237" s="71"/>
      <c r="G237" s="48"/>
      <c r="H237" s="48"/>
      <c r="I237" s="44"/>
      <c r="J237" s="44"/>
      <c r="K237" s="44"/>
      <c r="L237" s="44"/>
      <c r="M237" s="44"/>
      <c r="N237" s="44"/>
      <c r="O237" s="44"/>
      <c r="P237" s="48"/>
      <c r="Q237" s="44"/>
      <c r="R237" s="3"/>
    </row>
    <row r="238" spans="5:18" x14ac:dyDescent="0.25">
      <c r="E238" s="71"/>
      <c r="G238" s="48"/>
      <c r="H238" s="48"/>
      <c r="I238" s="44"/>
      <c r="J238" s="44"/>
      <c r="K238" s="44"/>
      <c r="L238" s="44"/>
      <c r="M238" s="44"/>
      <c r="N238" s="44"/>
      <c r="O238" s="44"/>
      <c r="P238" s="48"/>
      <c r="Q238" s="44"/>
      <c r="R238" s="3"/>
    </row>
    <row r="239" spans="5:18" x14ac:dyDescent="0.25">
      <c r="E239" s="71"/>
      <c r="G239" s="48"/>
      <c r="H239" s="48"/>
      <c r="I239" s="44"/>
      <c r="J239" s="44"/>
      <c r="K239" s="44"/>
      <c r="L239" s="44"/>
      <c r="M239" s="44"/>
      <c r="N239" s="44"/>
      <c r="O239" s="44"/>
      <c r="P239" s="48"/>
      <c r="Q239" s="44"/>
      <c r="R239" s="3"/>
    </row>
    <row r="240" spans="5:18" x14ac:dyDescent="0.25">
      <c r="E240" s="71"/>
      <c r="G240" s="48"/>
      <c r="H240" s="48"/>
      <c r="I240" s="44"/>
      <c r="J240" s="44"/>
      <c r="K240" s="44"/>
      <c r="L240" s="44"/>
      <c r="M240" s="44"/>
      <c r="N240" s="44"/>
      <c r="O240" s="44"/>
      <c r="P240" s="48"/>
      <c r="Q240" s="44"/>
      <c r="R240" s="3"/>
    </row>
    <row r="241" spans="5:18" x14ac:dyDescent="0.25">
      <c r="E241" s="71"/>
      <c r="G241" s="48"/>
      <c r="H241" s="48"/>
      <c r="I241" s="44"/>
      <c r="J241" s="44"/>
      <c r="K241" s="44"/>
      <c r="L241" s="44"/>
      <c r="M241" s="44"/>
      <c r="N241" s="44"/>
      <c r="O241" s="44"/>
      <c r="P241" s="48"/>
      <c r="Q241" s="44"/>
      <c r="R241" s="3"/>
    </row>
    <row r="242" spans="5:18" x14ac:dyDescent="0.25">
      <c r="E242" s="71"/>
      <c r="G242" s="48"/>
      <c r="H242" s="48"/>
      <c r="I242" s="44"/>
      <c r="J242" s="44"/>
      <c r="K242" s="44"/>
      <c r="L242" s="44"/>
      <c r="M242" s="44"/>
      <c r="N242" s="44"/>
      <c r="O242" s="44"/>
      <c r="P242" s="48"/>
      <c r="Q242" s="44"/>
      <c r="R242" s="3"/>
    </row>
    <row r="243" spans="5:18" x14ac:dyDescent="0.25">
      <c r="E243" s="71"/>
      <c r="G243" s="48"/>
      <c r="H243" s="48"/>
      <c r="I243" s="44"/>
      <c r="J243" s="44"/>
      <c r="K243" s="44"/>
      <c r="L243" s="44"/>
      <c r="M243" s="44"/>
      <c r="N243" s="44"/>
      <c r="O243" s="44"/>
      <c r="P243" s="48"/>
      <c r="Q243" s="44"/>
      <c r="R243" s="3"/>
    </row>
    <row r="244" spans="5:18" x14ac:dyDescent="0.25">
      <c r="E244" s="71"/>
      <c r="G244" s="48"/>
      <c r="H244" s="48"/>
      <c r="I244" s="44"/>
      <c r="J244" s="44"/>
      <c r="K244" s="44"/>
      <c r="L244" s="44"/>
      <c r="M244" s="44"/>
      <c r="N244" s="44"/>
      <c r="O244" s="44"/>
      <c r="P244" s="48"/>
      <c r="Q244" s="44"/>
      <c r="R244" s="3"/>
    </row>
    <row r="245" spans="5:18" x14ac:dyDescent="0.25">
      <c r="E245" s="71"/>
      <c r="G245" s="48"/>
      <c r="H245" s="48"/>
      <c r="I245" s="44"/>
      <c r="J245" s="44"/>
      <c r="K245" s="44"/>
      <c r="L245" s="44"/>
      <c r="M245" s="44"/>
      <c r="N245" s="44"/>
      <c r="O245" s="44"/>
      <c r="P245" s="48"/>
      <c r="Q245" s="44"/>
      <c r="R245" s="3"/>
    </row>
    <row r="246" spans="5:18" x14ac:dyDescent="0.25">
      <c r="E246" s="71"/>
      <c r="G246" s="48"/>
      <c r="H246" s="48"/>
      <c r="I246" s="44"/>
      <c r="J246" s="44"/>
      <c r="K246" s="44"/>
      <c r="L246" s="44"/>
      <c r="M246" s="44"/>
      <c r="N246" s="44"/>
      <c r="O246" s="44"/>
      <c r="P246" s="48"/>
      <c r="Q246" s="44"/>
      <c r="R246" s="3"/>
    </row>
    <row r="247" spans="5:18" x14ac:dyDescent="0.25">
      <c r="E247" s="71"/>
      <c r="G247" s="48"/>
      <c r="H247" s="48"/>
      <c r="I247" s="44"/>
      <c r="J247" s="44"/>
      <c r="K247" s="44"/>
      <c r="L247" s="44"/>
      <c r="M247" s="44"/>
      <c r="N247" s="44"/>
      <c r="O247" s="44"/>
      <c r="P247" s="48"/>
      <c r="Q247" s="44"/>
      <c r="R247" s="3"/>
    </row>
    <row r="248" spans="5:18" x14ac:dyDescent="0.25">
      <c r="E248" s="71"/>
      <c r="G248" s="48"/>
      <c r="H248" s="48"/>
      <c r="I248" s="44"/>
      <c r="J248" s="44"/>
      <c r="K248" s="44"/>
      <c r="L248" s="44"/>
      <c r="M248" s="44"/>
      <c r="N248" s="44"/>
      <c r="O248" s="44"/>
      <c r="P248" s="48"/>
      <c r="Q248" s="44"/>
      <c r="R248" s="3"/>
    </row>
    <row r="249" spans="5:18" x14ac:dyDescent="0.25">
      <c r="E249" s="71"/>
      <c r="G249" s="48"/>
      <c r="H249" s="48"/>
      <c r="I249" s="44"/>
      <c r="J249" s="44"/>
      <c r="K249" s="44"/>
      <c r="L249" s="44"/>
      <c r="M249" s="44"/>
      <c r="N249" s="44"/>
      <c r="O249" s="44"/>
      <c r="P249" s="48"/>
      <c r="Q249" s="44"/>
      <c r="R249" s="3"/>
    </row>
    <row r="250" spans="5:18" x14ac:dyDescent="0.25">
      <c r="E250" s="71"/>
      <c r="G250" s="48"/>
      <c r="H250" s="48"/>
      <c r="I250" s="44"/>
      <c r="J250" s="44"/>
      <c r="K250" s="44"/>
      <c r="L250" s="44"/>
      <c r="M250" s="44"/>
      <c r="N250" s="44"/>
      <c r="O250" s="44"/>
      <c r="P250" s="48"/>
      <c r="Q250" s="44"/>
      <c r="R250" s="3"/>
    </row>
    <row r="251" spans="5:18" x14ac:dyDescent="0.25">
      <c r="E251" s="71"/>
      <c r="G251" s="48"/>
      <c r="H251" s="48"/>
      <c r="I251" s="44"/>
      <c r="J251" s="44"/>
      <c r="K251" s="44"/>
      <c r="L251" s="44"/>
      <c r="M251" s="44"/>
      <c r="N251" s="44"/>
      <c r="O251" s="44"/>
      <c r="P251" s="48"/>
      <c r="Q251" s="44"/>
      <c r="R251" s="3"/>
    </row>
    <row r="252" spans="5:18" x14ac:dyDescent="0.25">
      <c r="E252" s="71"/>
      <c r="G252" s="48"/>
      <c r="H252" s="48"/>
      <c r="I252" s="44"/>
      <c r="J252" s="44"/>
      <c r="K252" s="44"/>
      <c r="L252" s="44"/>
      <c r="M252" s="44"/>
      <c r="N252" s="44"/>
      <c r="O252" s="44"/>
      <c r="P252" s="48"/>
      <c r="Q252" s="44"/>
      <c r="R252" s="3"/>
    </row>
    <row r="253" spans="5:18" x14ac:dyDescent="0.25">
      <c r="E253" s="71"/>
      <c r="G253" s="48"/>
      <c r="H253" s="48"/>
      <c r="I253" s="44"/>
      <c r="J253" s="44"/>
      <c r="K253" s="44"/>
      <c r="L253" s="44"/>
      <c r="M253" s="44"/>
      <c r="N253" s="44"/>
      <c r="O253" s="44"/>
      <c r="P253" s="48"/>
      <c r="Q253" s="44"/>
      <c r="R253" s="3"/>
    </row>
    <row r="254" spans="5:18" x14ac:dyDescent="0.25">
      <c r="E254" s="71"/>
      <c r="G254" s="48"/>
      <c r="H254" s="48"/>
      <c r="I254" s="44"/>
      <c r="J254" s="44"/>
      <c r="K254" s="44"/>
      <c r="L254" s="44"/>
      <c r="M254" s="44"/>
      <c r="N254" s="44"/>
      <c r="O254" s="44"/>
      <c r="P254" s="48"/>
      <c r="Q254" s="44"/>
      <c r="R254" s="3"/>
    </row>
    <row r="255" spans="5:18" x14ac:dyDescent="0.25">
      <c r="E255" s="71"/>
      <c r="G255" s="48"/>
      <c r="H255" s="48"/>
      <c r="I255" s="44"/>
      <c r="J255" s="44"/>
      <c r="K255" s="44"/>
      <c r="L255" s="44"/>
      <c r="M255" s="44"/>
      <c r="N255" s="44"/>
      <c r="O255" s="44"/>
      <c r="P255" s="48"/>
      <c r="Q255" s="44"/>
      <c r="R255" s="3"/>
    </row>
    <row r="256" spans="5:18" x14ac:dyDescent="0.25">
      <c r="E256" s="71"/>
      <c r="G256" s="48"/>
      <c r="H256" s="48"/>
      <c r="I256" s="44"/>
      <c r="J256" s="44"/>
      <c r="K256" s="44"/>
      <c r="L256" s="44"/>
      <c r="M256" s="44"/>
      <c r="N256" s="44"/>
      <c r="O256" s="44"/>
      <c r="P256" s="48"/>
      <c r="Q256" s="44"/>
      <c r="R256" s="3"/>
    </row>
    <row r="257" spans="5:18" x14ac:dyDescent="0.25">
      <c r="E257" s="71"/>
      <c r="G257" s="48"/>
      <c r="H257" s="48"/>
      <c r="I257" s="44"/>
      <c r="J257" s="44"/>
      <c r="K257" s="44"/>
      <c r="L257" s="44"/>
      <c r="M257" s="44"/>
      <c r="N257" s="44"/>
      <c r="O257" s="44"/>
      <c r="P257" s="48"/>
      <c r="Q257" s="44"/>
      <c r="R257" s="3"/>
    </row>
    <row r="258" spans="5:18" x14ac:dyDescent="0.25">
      <c r="E258" s="71"/>
      <c r="G258" s="48"/>
      <c r="H258" s="48"/>
      <c r="I258" s="44"/>
      <c r="J258" s="44"/>
      <c r="K258" s="44"/>
      <c r="L258" s="44"/>
      <c r="M258" s="44"/>
      <c r="N258" s="44"/>
      <c r="O258" s="44"/>
      <c r="P258" s="48"/>
      <c r="Q258" s="44"/>
      <c r="R258" s="3"/>
    </row>
    <row r="259" spans="5:18" x14ac:dyDescent="0.25">
      <c r="E259" s="71"/>
      <c r="G259" s="48"/>
      <c r="H259" s="48"/>
      <c r="I259" s="44"/>
      <c r="J259" s="44"/>
      <c r="K259" s="44"/>
      <c r="L259" s="44"/>
      <c r="M259" s="44"/>
      <c r="N259" s="44"/>
      <c r="O259" s="44"/>
      <c r="P259" s="48"/>
      <c r="Q259" s="44"/>
      <c r="R259" s="3"/>
    </row>
    <row r="260" spans="5:18" x14ac:dyDescent="0.25">
      <c r="E260" s="71"/>
      <c r="G260" s="48"/>
      <c r="H260" s="48"/>
      <c r="I260" s="44"/>
      <c r="J260" s="44"/>
      <c r="K260" s="44"/>
      <c r="L260" s="44"/>
      <c r="M260" s="44"/>
      <c r="N260" s="44"/>
      <c r="O260" s="44"/>
      <c r="P260" s="48"/>
      <c r="Q260" s="44"/>
      <c r="R260" s="3"/>
    </row>
    <row r="261" spans="5:18" x14ac:dyDescent="0.25">
      <c r="E261" s="71"/>
      <c r="G261" s="48"/>
      <c r="H261" s="48"/>
      <c r="I261" s="44"/>
      <c r="J261" s="44"/>
      <c r="K261" s="44"/>
      <c r="L261" s="44"/>
      <c r="M261" s="44"/>
      <c r="N261" s="44"/>
      <c r="O261" s="44"/>
      <c r="P261" s="48"/>
      <c r="Q261" s="44"/>
      <c r="R261" s="3"/>
    </row>
    <row r="262" spans="5:18" x14ac:dyDescent="0.25">
      <c r="E262" s="71"/>
      <c r="G262" s="48"/>
      <c r="H262" s="48"/>
      <c r="I262" s="44"/>
      <c r="J262" s="44"/>
      <c r="K262" s="44"/>
      <c r="L262" s="44"/>
      <c r="M262" s="44"/>
      <c r="N262" s="44"/>
      <c r="O262" s="44"/>
      <c r="P262" s="48"/>
      <c r="Q262" s="44"/>
      <c r="R262" s="3"/>
    </row>
    <row r="263" spans="5:18" x14ac:dyDescent="0.25">
      <c r="E263" s="71"/>
      <c r="G263" s="48"/>
      <c r="H263" s="48"/>
      <c r="I263" s="44"/>
      <c r="J263" s="44"/>
      <c r="K263" s="44"/>
      <c r="L263" s="44"/>
      <c r="M263" s="44"/>
      <c r="N263" s="44"/>
      <c r="O263" s="44"/>
      <c r="P263" s="48"/>
      <c r="Q263" s="44"/>
      <c r="R263" s="3"/>
    </row>
    <row r="264" spans="5:18" x14ac:dyDescent="0.25">
      <c r="E264" s="71"/>
      <c r="G264" s="48"/>
      <c r="H264" s="48"/>
      <c r="I264" s="44"/>
      <c r="J264" s="44"/>
      <c r="K264" s="44"/>
      <c r="L264" s="44"/>
      <c r="M264" s="44"/>
      <c r="N264" s="44"/>
      <c r="O264" s="44"/>
      <c r="P264" s="48"/>
      <c r="Q264" s="44"/>
      <c r="R264" s="3"/>
    </row>
    <row r="265" spans="5:18" x14ac:dyDescent="0.25">
      <c r="E265" s="71"/>
      <c r="G265" s="48"/>
      <c r="H265" s="48"/>
      <c r="I265" s="44"/>
      <c r="J265" s="44"/>
      <c r="K265" s="44"/>
      <c r="L265" s="44"/>
      <c r="M265" s="44"/>
      <c r="N265" s="44"/>
      <c r="O265" s="44"/>
      <c r="P265" s="48"/>
      <c r="Q265" s="44"/>
      <c r="R265" s="3"/>
    </row>
    <row r="266" spans="5:18" x14ac:dyDescent="0.25">
      <c r="E266" s="71"/>
      <c r="G266" s="48"/>
      <c r="H266" s="48"/>
      <c r="I266" s="44"/>
      <c r="J266" s="44"/>
      <c r="K266" s="44"/>
      <c r="L266" s="44"/>
      <c r="M266" s="44"/>
      <c r="N266" s="44"/>
      <c r="O266" s="44"/>
      <c r="P266" s="48"/>
      <c r="Q266" s="44"/>
      <c r="R266" s="3"/>
    </row>
    <row r="267" spans="5:18" x14ac:dyDescent="0.25">
      <c r="E267" s="71"/>
      <c r="G267" s="48"/>
      <c r="H267" s="48"/>
      <c r="I267" s="44"/>
      <c r="J267" s="44"/>
      <c r="K267" s="44"/>
      <c r="L267" s="44"/>
      <c r="M267" s="44"/>
      <c r="N267" s="44"/>
      <c r="O267" s="44"/>
      <c r="P267" s="48"/>
      <c r="Q267" s="44"/>
      <c r="R267" s="3"/>
    </row>
    <row r="268" spans="5:18" x14ac:dyDescent="0.25">
      <c r="E268" s="71"/>
      <c r="G268" s="48"/>
      <c r="H268" s="48"/>
      <c r="I268" s="44"/>
      <c r="J268" s="44"/>
      <c r="K268" s="44"/>
      <c r="L268" s="44"/>
      <c r="M268" s="44"/>
      <c r="N268" s="44"/>
      <c r="O268" s="44"/>
      <c r="P268" s="48"/>
      <c r="Q268" s="44"/>
      <c r="R268" s="3"/>
    </row>
    <row r="269" spans="5:18" x14ac:dyDescent="0.25">
      <c r="E269" s="71"/>
      <c r="G269" s="48"/>
      <c r="H269" s="48"/>
      <c r="I269" s="44"/>
      <c r="J269" s="44"/>
      <c r="K269" s="44"/>
      <c r="L269" s="44"/>
      <c r="M269" s="44"/>
      <c r="N269" s="44"/>
      <c r="O269" s="44"/>
      <c r="P269" s="48"/>
      <c r="Q269" s="44"/>
      <c r="R269" s="3"/>
    </row>
    <row r="270" spans="5:18" x14ac:dyDescent="0.25">
      <c r="E270" s="71"/>
      <c r="G270" s="48"/>
      <c r="H270" s="48"/>
      <c r="I270" s="44"/>
      <c r="J270" s="44"/>
      <c r="K270" s="44"/>
      <c r="L270" s="44"/>
      <c r="M270" s="44"/>
      <c r="N270" s="44"/>
      <c r="O270" s="44"/>
      <c r="P270" s="48"/>
      <c r="Q270" s="44"/>
      <c r="R270" s="3"/>
    </row>
    <row r="271" spans="5:18" x14ac:dyDescent="0.25">
      <c r="E271" s="71"/>
      <c r="G271" s="48"/>
      <c r="H271" s="48"/>
      <c r="I271" s="44"/>
      <c r="J271" s="44"/>
      <c r="K271" s="44"/>
      <c r="L271" s="44"/>
      <c r="M271" s="44"/>
      <c r="N271" s="44"/>
      <c r="O271" s="44"/>
      <c r="P271" s="48"/>
      <c r="Q271" s="44"/>
      <c r="R271" s="3"/>
    </row>
    <row r="272" spans="5:18" x14ac:dyDescent="0.25">
      <c r="E272" s="71"/>
      <c r="G272" s="48"/>
      <c r="H272" s="48"/>
      <c r="I272" s="44"/>
      <c r="J272" s="44"/>
      <c r="K272" s="44"/>
      <c r="L272" s="44"/>
      <c r="M272" s="44"/>
      <c r="N272" s="44"/>
      <c r="O272" s="44"/>
      <c r="P272" s="48"/>
      <c r="Q272" s="44"/>
      <c r="R272" s="3"/>
    </row>
    <row r="273" spans="5:18" x14ac:dyDescent="0.25">
      <c r="E273" s="71"/>
      <c r="G273" s="48"/>
      <c r="H273" s="48"/>
      <c r="I273" s="44"/>
      <c r="J273" s="44"/>
      <c r="K273" s="44"/>
      <c r="L273" s="44"/>
      <c r="M273" s="44"/>
      <c r="N273" s="44"/>
      <c r="O273" s="44"/>
      <c r="P273" s="48"/>
      <c r="Q273" s="44"/>
      <c r="R273" s="3"/>
    </row>
    <row r="274" spans="5:18" x14ac:dyDescent="0.25">
      <c r="E274" s="71"/>
      <c r="G274" s="48"/>
      <c r="H274" s="48"/>
      <c r="I274" s="44"/>
      <c r="J274" s="44"/>
      <c r="K274" s="44"/>
      <c r="L274" s="44"/>
      <c r="M274" s="44"/>
      <c r="N274" s="44"/>
      <c r="O274" s="44"/>
      <c r="P274" s="48"/>
      <c r="Q274" s="44"/>
      <c r="R274" s="3"/>
    </row>
    <row r="275" spans="5:18" x14ac:dyDescent="0.25">
      <c r="E275" s="71"/>
      <c r="G275" s="48"/>
      <c r="H275" s="48"/>
      <c r="I275" s="44"/>
      <c r="J275" s="44"/>
      <c r="K275" s="44"/>
      <c r="L275" s="44"/>
      <c r="M275" s="44"/>
      <c r="N275" s="44"/>
      <c r="O275" s="44"/>
      <c r="P275" s="48"/>
      <c r="Q275" s="44"/>
      <c r="R275" s="3"/>
    </row>
    <row r="276" spans="5:18" x14ac:dyDescent="0.25">
      <c r="E276" s="71"/>
      <c r="G276" s="48"/>
      <c r="H276" s="48"/>
      <c r="I276" s="44"/>
      <c r="J276" s="44"/>
      <c r="K276" s="44"/>
      <c r="L276" s="44"/>
      <c r="M276" s="44"/>
      <c r="N276" s="44"/>
      <c r="O276" s="44"/>
      <c r="P276" s="48"/>
      <c r="Q276" s="44"/>
      <c r="R276" s="3"/>
    </row>
    <row r="277" spans="5:18" x14ac:dyDescent="0.25">
      <c r="E277" s="71"/>
      <c r="G277" s="48"/>
      <c r="H277" s="48"/>
      <c r="I277" s="44"/>
      <c r="J277" s="44"/>
      <c r="K277" s="44"/>
      <c r="L277" s="44"/>
      <c r="M277" s="44"/>
      <c r="N277" s="44"/>
      <c r="O277" s="44"/>
      <c r="P277" s="48"/>
      <c r="Q277" s="44"/>
      <c r="R277" s="3"/>
    </row>
    <row r="278" spans="5:18" x14ac:dyDescent="0.25">
      <c r="E278" s="71"/>
      <c r="G278" s="48"/>
      <c r="H278" s="48"/>
      <c r="I278" s="44"/>
      <c r="J278" s="44"/>
      <c r="K278" s="44"/>
      <c r="L278" s="44"/>
      <c r="M278" s="44"/>
      <c r="N278" s="44"/>
      <c r="O278" s="44"/>
      <c r="P278" s="48"/>
      <c r="Q278" s="44"/>
      <c r="R278" s="3"/>
    </row>
    <row r="279" spans="5:18" x14ac:dyDescent="0.25">
      <c r="E279" s="71"/>
      <c r="G279" s="48"/>
      <c r="H279" s="48"/>
      <c r="I279" s="44"/>
      <c r="J279" s="44"/>
      <c r="K279" s="44"/>
      <c r="L279" s="44"/>
      <c r="M279" s="44"/>
      <c r="N279" s="44"/>
      <c r="O279" s="44"/>
      <c r="P279" s="48"/>
      <c r="Q279" s="44"/>
      <c r="R279" s="3"/>
    </row>
    <row r="280" spans="5:18" x14ac:dyDescent="0.25">
      <c r="E280" s="71"/>
      <c r="G280" s="48"/>
      <c r="H280" s="48"/>
      <c r="I280" s="44"/>
      <c r="J280" s="44"/>
      <c r="K280" s="44"/>
      <c r="L280" s="44"/>
      <c r="M280" s="44"/>
      <c r="N280" s="44"/>
      <c r="O280" s="44"/>
      <c r="P280" s="48"/>
      <c r="Q280" s="44"/>
      <c r="R280" s="3"/>
    </row>
    <row r="281" spans="5:18" x14ac:dyDescent="0.25">
      <c r="E281" s="71"/>
      <c r="G281" s="48"/>
      <c r="H281" s="48"/>
      <c r="I281" s="44"/>
      <c r="J281" s="44"/>
      <c r="K281" s="44"/>
      <c r="L281" s="44"/>
      <c r="M281" s="44"/>
      <c r="N281" s="44"/>
      <c r="O281" s="44"/>
      <c r="P281" s="48"/>
      <c r="Q281" s="44"/>
      <c r="R281" s="3"/>
    </row>
    <row r="282" spans="5:18" x14ac:dyDescent="0.25">
      <c r="E282" s="71"/>
      <c r="G282" s="48"/>
      <c r="H282" s="48"/>
      <c r="I282" s="44"/>
      <c r="J282" s="44"/>
      <c r="K282" s="44"/>
      <c r="L282" s="44"/>
      <c r="M282" s="44"/>
      <c r="N282" s="44"/>
      <c r="O282" s="44"/>
      <c r="P282" s="48"/>
      <c r="Q282" s="44"/>
      <c r="R282" s="3"/>
    </row>
    <row r="283" spans="5:18" x14ac:dyDescent="0.25">
      <c r="E283" s="71"/>
      <c r="G283" s="48"/>
      <c r="H283" s="48"/>
      <c r="I283" s="44"/>
      <c r="J283" s="44"/>
      <c r="K283" s="44"/>
      <c r="L283" s="44"/>
      <c r="M283" s="44"/>
      <c r="N283" s="44"/>
      <c r="O283" s="44"/>
      <c r="P283" s="48"/>
      <c r="Q283" s="44"/>
      <c r="R283" s="3"/>
    </row>
    <row r="284" spans="5:18" x14ac:dyDescent="0.25">
      <c r="E284" s="71"/>
      <c r="G284" s="48"/>
      <c r="H284" s="48"/>
      <c r="I284" s="44"/>
      <c r="J284" s="44"/>
      <c r="K284" s="44"/>
      <c r="L284" s="44"/>
      <c r="M284" s="44"/>
      <c r="N284" s="44"/>
      <c r="O284" s="44"/>
      <c r="P284" s="48"/>
      <c r="Q284" s="44"/>
      <c r="R284" s="3"/>
    </row>
    <row r="285" spans="5:18" x14ac:dyDescent="0.25">
      <c r="E285" s="71"/>
      <c r="G285" s="48"/>
      <c r="H285" s="48"/>
      <c r="I285" s="44"/>
      <c r="J285" s="44"/>
      <c r="K285" s="44"/>
      <c r="L285" s="44"/>
      <c r="M285" s="44"/>
      <c r="N285" s="44"/>
      <c r="O285" s="44"/>
      <c r="P285" s="48"/>
      <c r="Q285" s="44"/>
      <c r="R285" s="3"/>
    </row>
    <row r="286" spans="5:18" x14ac:dyDescent="0.25">
      <c r="E286" s="71"/>
      <c r="G286" s="48"/>
      <c r="H286" s="48"/>
      <c r="I286" s="44"/>
      <c r="J286" s="44"/>
      <c r="K286" s="44"/>
      <c r="L286" s="44"/>
      <c r="M286" s="44"/>
      <c r="N286" s="44"/>
      <c r="O286" s="44"/>
      <c r="P286" s="48"/>
      <c r="Q286" s="44"/>
      <c r="R286" s="3"/>
    </row>
    <row r="287" spans="5:18" x14ac:dyDescent="0.25">
      <c r="E287" s="71"/>
      <c r="G287" s="48"/>
      <c r="H287" s="48"/>
      <c r="I287" s="44"/>
      <c r="J287" s="44"/>
      <c r="K287" s="44"/>
      <c r="L287" s="44"/>
      <c r="M287" s="44"/>
      <c r="N287" s="44"/>
      <c r="O287" s="44"/>
      <c r="P287" s="48"/>
      <c r="Q287" s="44"/>
      <c r="R287" s="3"/>
    </row>
    <row r="288" spans="5:18" x14ac:dyDescent="0.25">
      <c r="E288" s="71"/>
      <c r="G288" s="48"/>
      <c r="H288" s="48"/>
      <c r="I288" s="44"/>
      <c r="J288" s="44"/>
      <c r="K288" s="44"/>
      <c r="L288" s="44"/>
      <c r="M288" s="44"/>
      <c r="N288" s="44"/>
      <c r="O288" s="44"/>
      <c r="P288" s="48"/>
      <c r="Q288" s="44"/>
      <c r="R288" s="3"/>
    </row>
    <row r="289" spans="5:18" x14ac:dyDescent="0.25">
      <c r="E289" s="71"/>
      <c r="G289" s="48"/>
      <c r="H289" s="48"/>
      <c r="I289" s="44"/>
      <c r="J289" s="44"/>
      <c r="K289" s="44"/>
      <c r="L289" s="44"/>
      <c r="M289" s="44"/>
      <c r="N289" s="44"/>
      <c r="O289" s="44"/>
      <c r="P289" s="48"/>
      <c r="Q289" s="44"/>
      <c r="R289" s="3"/>
    </row>
    <row r="290" spans="5:18" x14ac:dyDescent="0.25">
      <c r="E290" s="71"/>
      <c r="G290" s="48"/>
      <c r="H290" s="48"/>
      <c r="I290" s="44"/>
      <c r="J290" s="44"/>
      <c r="K290" s="44"/>
      <c r="L290" s="44"/>
      <c r="M290" s="44"/>
      <c r="N290" s="44"/>
      <c r="O290" s="44"/>
      <c r="P290" s="48"/>
      <c r="Q290" s="44"/>
      <c r="R290" s="3"/>
    </row>
    <row r="291" spans="5:18" x14ac:dyDescent="0.25">
      <c r="E291" s="71"/>
      <c r="G291" s="48"/>
      <c r="H291" s="48"/>
      <c r="I291" s="44"/>
      <c r="J291" s="44"/>
      <c r="K291" s="44"/>
      <c r="L291" s="44"/>
      <c r="M291" s="44"/>
      <c r="N291" s="44"/>
      <c r="O291" s="44"/>
      <c r="P291" s="48"/>
      <c r="Q291" s="44"/>
      <c r="R291" s="3"/>
    </row>
    <row r="292" spans="5:18" x14ac:dyDescent="0.25">
      <c r="E292" s="71"/>
      <c r="G292" s="48"/>
      <c r="H292" s="48"/>
      <c r="I292" s="44"/>
      <c r="J292" s="44"/>
      <c r="K292" s="44"/>
      <c r="L292" s="44"/>
      <c r="M292" s="44"/>
      <c r="N292" s="44"/>
      <c r="O292" s="44"/>
      <c r="P292" s="48"/>
      <c r="Q292" s="44"/>
      <c r="R292" s="3"/>
    </row>
    <row r="293" spans="5:18" x14ac:dyDescent="0.25">
      <c r="E293" s="71"/>
      <c r="G293" s="48"/>
      <c r="H293" s="48"/>
      <c r="I293" s="44"/>
      <c r="J293" s="44"/>
      <c r="K293" s="44"/>
      <c r="L293" s="44"/>
      <c r="M293" s="44"/>
      <c r="N293" s="44"/>
      <c r="O293" s="44"/>
      <c r="P293" s="48"/>
      <c r="Q293" s="44"/>
      <c r="R293" s="3"/>
    </row>
    <row r="294" spans="5:18" x14ac:dyDescent="0.25">
      <c r="E294" s="71"/>
      <c r="G294" s="48"/>
      <c r="H294" s="48"/>
      <c r="I294" s="44"/>
      <c r="J294" s="44"/>
      <c r="K294" s="44"/>
      <c r="L294" s="44"/>
      <c r="M294" s="44"/>
      <c r="N294" s="44"/>
      <c r="O294" s="44"/>
      <c r="P294" s="48"/>
      <c r="Q294" s="44"/>
      <c r="R294" s="3"/>
    </row>
    <row r="295" spans="5:18" x14ac:dyDescent="0.25">
      <c r="E295" s="71"/>
      <c r="G295" s="48"/>
      <c r="H295" s="48"/>
      <c r="I295" s="44"/>
      <c r="J295" s="44"/>
      <c r="K295" s="44"/>
      <c r="L295" s="44"/>
      <c r="M295" s="44"/>
      <c r="N295" s="44"/>
      <c r="O295" s="44"/>
      <c r="P295" s="48"/>
      <c r="Q295" s="44"/>
      <c r="R295" s="3"/>
    </row>
    <row r="296" spans="5:18" x14ac:dyDescent="0.25">
      <c r="E296" s="71"/>
      <c r="G296" s="48"/>
      <c r="H296" s="48"/>
      <c r="I296" s="44"/>
      <c r="J296" s="44"/>
      <c r="K296" s="44"/>
      <c r="L296" s="44"/>
      <c r="M296" s="44"/>
      <c r="N296" s="44"/>
      <c r="O296" s="44"/>
      <c r="P296" s="48"/>
      <c r="Q296" s="44"/>
      <c r="R296" s="3"/>
    </row>
    <row r="297" spans="5:18" x14ac:dyDescent="0.25">
      <c r="E297" s="71"/>
      <c r="G297" s="48"/>
      <c r="H297" s="48"/>
      <c r="I297" s="44"/>
      <c r="J297" s="44"/>
      <c r="K297" s="44"/>
      <c r="L297" s="44"/>
      <c r="M297" s="44"/>
      <c r="N297" s="44"/>
      <c r="O297" s="44"/>
      <c r="Q297" s="44"/>
      <c r="R297" s="3"/>
    </row>
    <row r="298" spans="5:18" x14ac:dyDescent="0.25">
      <c r="E298" s="71"/>
      <c r="G298" s="48"/>
      <c r="H298" s="48"/>
      <c r="I298" s="44"/>
      <c r="J298" s="44"/>
      <c r="K298" s="44"/>
      <c r="L298" s="44"/>
      <c r="M298" s="44"/>
      <c r="N298" s="44"/>
      <c r="O298" s="44"/>
      <c r="Q298" s="44"/>
      <c r="R298" s="3"/>
    </row>
    <row r="299" spans="5:18" x14ac:dyDescent="0.25">
      <c r="E299" s="71"/>
      <c r="G299" s="48"/>
      <c r="H299" s="48"/>
      <c r="I299" s="44"/>
      <c r="J299" s="44"/>
      <c r="K299" s="44"/>
      <c r="L299" s="44"/>
      <c r="M299" s="44"/>
      <c r="N299" s="44"/>
      <c r="O299" s="44"/>
      <c r="Q299" s="44"/>
      <c r="R299" s="3"/>
    </row>
    <row r="300" spans="5:18" x14ac:dyDescent="0.25">
      <c r="E300" s="71"/>
      <c r="G300" s="48"/>
      <c r="H300" s="48"/>
      <c r="I300" s="44"/>
      <c r="J300" s="44"/>
      <c r="K300" s="44"/>
      <c r="L300" s="44"/>
      <c r="M300" s="44"/>
      <c r="N300" s="44"/>
      <c r="O300" s="44"/>
      <c r="Q300" s="44"/>
      <c r="R300" s="3"/>
    </row>
    <row r="301" spans="5:18" x14ac:dyDescent="0.25">
      <c r="E301" s="71"/>
      <c r="G301" s="48"/>
      <c r="H301" s="48"/>
      <c r="I301" s="44"/>
      <c r="J301" s="44"/>
      <c r="K301" s="44"/>
      <c r="L301" s="44"/>
      <c r="M301" s="44"/>
      <c r="N301" s="44"/>
      <c r="O301" s="44"/>
      <c r="Q301" s="44"/>
      <c r="R301" s="3"/>
    </row>
    <row r="302" spans="5:18" x14ac:dyDescent="0.25">
      <c r="E302" s="71"/>
      <c r="G302" s="48"/>
      <c r="H302" s="48"/>
      <c r="I302" s="44"/>
      <c r="J302" s="44"/>
      <c r="K302" s="44"/>
      <c r="L302" s="44"/>
      <c r="M302" s="44"/>
      <c r="N302" s="44"/>
      <c r="O302" s="44"/>
      <c r="Q302" s="44"/>
      <c r="R302" s="3"/>
    </row>
    <row r="303" spans="5:18" x14ac:dyDescent="0.25">
      <c r="E303" s="71"/>
      <c r="G303" s="48"/>
      <c r="H303" s="48"/>
      <c r="I303" s="44"/>
      <c r="J303" s="44"/>
      <c r="K303" s="44"/>
      <c r="L303" s="44"/>
      <c r="M303" s="44"/>
      <c r="N303" s="44"/>
      <c r="O303" s="44"/>
      <c r="Q303" s="44"/>
      <c r="R303" s="3"/>
    </row>
    <row r="304" spans="5:18" x14ac:dyDescent="0.25">
      <c r="E304" s="71"/>
      <c r="G304" s="48"/>
      <c r="H304" s="48"/>
      <c r="I304" s="44"/>
      <c r="J304" s="44"/>
      <c r="K304" s="44"/>
      <c r="L304" s="44"/>
      <c r="M304" s="44"/>
      <c r="N304" s="44"/>
      <c r="O304" s="44"/>
      <c r="Q304" s="44"/>
      <c r="R304" s="3"/>
    </row>
    <row r="305" spans="5:18" x14ac:dyDescent="0.25">
      <c r="E305" s="71"/>
      <c r="G305" s="48"/>
      <c r="H305" s="48"/>
      <c r="I305" s="44"/>
      <c r="J305" s="44"/>
      <c r="K305" s="44"/>
      <c r="L305" s="44"/>
      <c r="M305" s="44"/>
      <c r="N305" s="44"/>
      <c r="O305" s="44"/>
      <c r="Q305" s="44"/>
      <c r="R305" s="3"/>
    </row>
    <row r="306" spans="5:18" x14ac:dyDescent="0.25">
      <c r="E306" s="71"/>
      <c r="G306" s="48"/>
      <c r="H306" s="48"/>
      <c r="I306" s="44"/>
      <c r="J306" s="44"/>
      <c r="K306" s="44"/>
      <c r="L306" s="44"/>
      <c r="M306" s="44"/>
      <c r="N306" s="44"/>
      <c r="O306" s="44"/>
      <c r="Q306" s="44"/>
      <c r="R306" s="3"/>
    </row>
    <row r="307" spans="5:18" x14ac:dyDescent="0.25">
      <c r="E307" s="71"/>
      <c r="G307" s="48"/>
      <c r="H307" s="48"/>
      <c r="I307" s="44"/>
      <c r="J307" s="44"/>
      <c r="K307" s="44"/>
      <c r="L307" s="44"/>
      <c r="M307" s="44"/>
      <c r="N307" s="44"/>
      <c r="O307" s="44"/>
      <c r="Q307" s="44"/>
      <c r="R307" s="3"/>
    </row>
    <row r="308" spans="5:18" x14ac:dyDescent="0.25">
      <c r="E308" s="71"/>
      <c r="G308" s="48"/>
      <c r="H308" s="48"/>
      <c r="I308" s="44"/>
      <c r="J308" s="44"/>
      <c r="K308" s="44"/>
      <c r="L308" s="44"/>
      <c r="M308" s="44"/>
      <c r="N308" s="44"/>
      <c r="O308" s="44"/>
      <c r="Q308" s="44"/>
      <c r="R308" s="3"/>
    </row>
    <row r="309" spans="5:18" x14ac:dyDescent="0.25">
      <c r="E309" s="71"/>
      <c r="G309" s="48"/>
      <c r="H309" s="48"/>
      <c r="I309" s="44"/>
      <c r="J309" s="44"/>
      <c r="K309" s="44"/>
      <c r="L309" s="44"/>
      <c r="M309" s="44"/>
      <c r="N309" s="44"/>
      <c r="O309" s="44"/>
      <c r="Q309" s="44"/>
      <c r="R309" s="3"/>
    </row>
    <row r="310" spans="5:18" x14ac:dyDescent="0.25">
      <c r="E310" s="71"/>
      <c r="G310" s="48"/>
      <c r="H310" s="48"/>
      <c r="I310" s="44"/>
      <c r="J310" s="44"/>
      <c r="K310" s="44"/>
      <c r="L310" s="44"/>
      <c r="M310" s="44"/>
      <c r="N310" s="44"/>
      <c r="O310" s="44"/>
      <c r="Q310" s="44"/>
      <c r="R310" s="3"/>
    </row>
    <row r="311" spans="5:18" x14ac:dyDescent="0.25">
      <c r="E311" s="71"/>
      <c r="G311" s="48"/>
      <c r="H311" s="48"/>
      <c r="I311" s="44"/>
      <c r="J311" s="44"/>
      <c r="K311" s="44"/>
      <c r="L311" s="44"/>
      <c r="M311" s="44"/>
      <c r="N311" s="44"/>
      <c r="O311" s="44"/>
      <c r="Q311" s="44"/>
      <c r="R311" s="3"/>
    </row>
    <row r="312" spans="5:18" x14ac:dyDescent="0.25">
      <c r="E312" s="71"/>
      <c r="G312" s="48"/>
      <c r="H312" s="48"/>
      <c r="I312" s="44"/>
      <c r="J312" s="44"/>
      <c r="K312" s="44"/>
      <c r="L312" s="44"/>
      <c r="M312" s="44"/>
      <c r="N312" s="44"/>
      <c r="O312" s="44"/>
      <c r="Q312" s="44"/>
      <c r="R312" s="3"/>
    </row>
    <row r="313" spans="5:18" x14ac:dyDescent="0.25">
      <c r="E313" s="71"/>
      <c r="G313" s="48"/>
      <c r="H313" s="48"/>
      <c r="I313" s="44"/>
      <c r="J313" s="44"/>
      <c r="K313" s="44"/>
      <c r="L313" s="44"/>
      <c r="M313" s="44"/>
      <c r="N313" s="44"/>
      <c r="O313" s="44"/>
      <c r="Q313" s="44"/>
      <c r="R313" s="3"/>
    </row>
    <row r="314" spans="5:18" x14ac:dyDescent="0.25">
      <c r="E314" s="71"/>
      <c r="G314" s="48"/>
      <c r="H314" s="48"/>
      <c r="I314" s="44"/>
      <c r="J314" s="44"/>
      <c r="K314" s="44"/>
      <c r="L314" s="44"/>
      <c r="M314" s="44"/>
      <c r="N314" s="44"/>
      <c r="O314" s="44"/>
      <c r="Q314" s="44"/>
      <c r="R314" s="3"/>
    </row>
    <row r="315" spans="5:18" x14ac:dyDescent="0.25">
      <c r="E315" s="71"/>
      <c r="G315" s="48"/>
      <c r="H315" s="48"/>
      <c r="I315" s="44"/>
      <c r="J315" s="44"/>
      <c r="K315" s="44"/>
      <c r="L315" s="44"/>
      <c r="M315" s="44"/>
      <c r="N315" s="44"/>
      <c r="O315" s="44"/>
      <c r="Q315" s="44"/>
      <c r="R315" s="3"/>
    </row>
    <row r="316" spans="5:18" x14ac:dyDescent="0.25">
      <c r="E316" s="71"/>
      <c r="G316" s="48"/>
      <c r="H316" s="48"/>
      <c r="I316" s="44"/>
      <c r="J316" s="44"/>
      <c r="K316" s="44"/>
      <c r="L316" s="44"/>
      <c r="M316" s="44"/>
      <c r="N316" s="44"/>
      <c r="O316" s="44"/>
      <c r="Q316" s="44"/>
      <c r="R316" s="3"/>
    </row>
    <row r="317" spans="5:18" x14ac:dyDescent="0.25">
      <c r="E317" s="71"/>
      <c r="G317" s="48"/>
      <c r="H317" s="48"/>
      <c r="I317" s="44"/>
      <c r="J317" s="44"/>
      <c r="K317" s="44"/>
      <c r="L317" s="44"/>
      <c r="M317" s="44"/>
      <c r="N317" s="44"/>
      <c r="O317" s="44"/>
      <c r="Q317" s="44"/>
      <c r="R317" s="3"/>
    </row>
    <row r="318" spans="5:18" x14ac:dyDescent="0.25">
      <c r="E318" s="71"/>
      <c r="G318" s="48"/>
      <c r="H318" s="48"/>
      <c r="I318" s="44"/>
      <c r="J318" s="44"/>
      <c r="K318" s="44"/>
      <c r="L318" s="44"/>
      <c r="M318" s="44"/>
      <c r="N318" s="44"/>
      <c r="O318" s="44"/>
      <c r="Q318" s="44"/>
      <c r="R318" s="3"/>
    </row>
    <row r="319" spans="5:18" x14ac:dyDescent="0.25">
      <c r="E319" s="71"/>
      <c r="G319" s="48"/>
      <c r="H319" s="48"/>
      <c r="I319" s="44"/>
      <c r="J319" s="44"/>
      <c r="K319" s="44"/>
      <c r="L319" s="44"/>
      <c r="M319" s="44"/>
      <c r="N319" s="44"/>
      <c r="O319" s="44"/>
      <c r="Q319" s="44"/>
      <c r="R319" s="3"/>
    </row>
    <row r="320" spans="5:18" x14ac:dyDescent="0.25">
      <c r="E320" s="71"/>
      <c r="G320" s="48"/>
      <c r="H320" s="48"/>
      <c r="I320" s="44"/>
      <c r="J320" s="44"/>
      <c r="K320" s="44"/>
      <c r="L320" s="44"/>
      <c r="M320" s="44"/>
      <c r="N320" s="44"/>
      <c r="O320" s="44"/>
      <c r="Q320" s="44"/>
      <c r="R320" s="3"/>
    </row>
    <row r="321" spans="5:18" x14ac:dyDescent="0.25">
      <c r="E321" s="71"/>
      <c r="G321" s="48"/>
      <c r="H321" s="48"/>
      <c r="I321" s="44"/>
      <c r="J321" s="44"/>
      <c r="K321" s="44"/>
      <c r="L321" s="44"/>
      <c r="M321" s="44"/>
      <c r="N321" s="44"/>
      <c r="O321" s="44"/>
      <c r="P321" s="3"/>
      <c r="Q321" s="44"/>
      <c r="R321" s="3"/>
    </row>
    <row r="322" spans="5:18" x14ac:dyDescent="0.25">
      <c r="E322" s="71"/>
      <c r="G322" s="48"/>
      <c r="H322" s="48"/>
      <c r="I322" s="44"/>
      <c r="J322" s="44"/>
      <c r="K322" s="44"/>
      <c r="L322" s="44"/>
      <c r="M322" s="44"/>
      <c r="N322" s="44"/>
      <c r="O322" s="44"/>
      <c r="P322" s="3"/>
      <c r="Q322" s="44"/>
      <c r="R322" s="3"/>
    </row>
    <row r="323" spans="5:18" x14ac:dyDescent="0.25">
      <c r="E323" s="71"/>
      <c r="G323" s="48"/>
      <c r="H323" s="48"/>
      <c r="I323" s="44"/>
      <c r="J323" s="44"/>
      <c r="K323" s="44"/>
      <c r="L323" s="44"/>
      <c r="M323" s="44"/>
      <c r="N323" s="44"/>
      <c r="O323" s="44"/>
      <c r="P323" s="3"/>
      <c r="Q323" s="44"/>
      <c r="R323" s="3"/>
    </row>
    <row r="324" spans="5:18" x14ac:dyDescent="0.25">
      <c r="E324" s="71"/>
      <c r="G324" s="48"/>
      <c r="H324" s="48"/>
      <c r="I324" s="44"/>
      <c r="J324" s="44"/>
      <c r="K324" s="44"/>
      <c r="L324" s="44"/>
      <c r="M324" s="44"/>
      <c r="N324" s="44"/>
      <c r="O324" s="44"/>
      <c r="P324" s="3"/>
      <c r="Q324" s="44"/>
      <c r="R324" s="3"/>
    </row>
    <row r="325" spans="5:18" x14ac:dyDescent="0.25">
      <c r="E325" s="71"/>
      <c r="G325" s="48"/>
      <c r="H325" s="48"/>
      <c r="I325" s="44"/>
      <c r="J325" s="44"/>
      <c r="K325" s="44"/>
      <c r="L325" s="44"/>
      <c r="M325" s="44"/>
      <c r="N325" s="44"/>
      <c r="O325" s="44"/>
      <c r="P325" s="3"/>
      <c r="Q325" s="44"/>
      <c r="R325" s="3"/>
    </row>
    <row r="326" spans="5:18" x14ac:dyDescent="0.25">
      <c r="E326" s="71"/>
      <c r="G326" s="48"/>
      <c r="H326" s="48"/>
      <c r="I326" s="44"/>
      <c r="J326" s="44"/>
      <c r="K326" s="44"/>
      <c r="L326" s="44"/>
      <c r="M326" s="44"/>
      <c r="N326" s="44"/>
      <c r="O326" s="44"/>
      <c r="P326" s="3"/>
      <c r="Q326" s="44"/>
      <c r="R326" s="3"/>
    </row>
    <row r="327" spans="5:18" x14ac:dyDescent="0.25">
      <c r="E327" s="71"/>
      <c r="G327" s="48"/>
      <c r="H327" s="48"/>
      <c r="I327" s="44"/>
      <c r="J327" s="44"/>
      <c r="K327" s="44"/>
      <c r="L327" s="44"/>
      <c r="M327" s="44"/>
      <c r="N327" s="44"/>
      <c r="O327" s="44"/>
      <c r="P327" s="3"/>
      <c r="Q327" s="44"/>
      <c r="R327" s="3"/>
    </row>
    <row r="328" spans="5:18" x14ac:dyDescent="0.25">
      <c r="E328" s="71"/>
      <c r="G328" s="48"/>
      <c r="H328" s="48"/>
      <c r="I328" s="44"/>
      <c r="J328" s="44"/>
      <c r="K328" s="44"/>
      <c r="L328" s="44"/>
      <c r="M328" s="44"/>
      <c r="N328" s="44"/>
      <c r="O328" s="44"/>
      <c r="P328" s="3"/>
      <c r="Q328" s="44"/>
      <c r="R328" s="3"/>
    </row>
    <row r="329" spans="5:18" x14ac:dyDescent="0.25">
      <c r="E329" s="71"/>
      <c r="G329" s="48"/>
      <c r="H329" s="48"/>
      <c r="I329" s="44"/>
      <c r="J329" s="44"/>
      <c r="K329" s="44"/>
      <c r="L329" s="44"/>
      <c r="M329" s="44"/>
      <c r="N329" s="44"/>
      <c r="O329" s="44"/>
      <c r="P329" s="3"/>
      <c r="Q329" s="44"/>
      <c r="R329" s="3"/>
    </row>
    <row r="330" spans="5:18" x14ac:dyDescent="0.25">
      <c r="E330" s="71"/>
      <c r="G330" s="48"/>
      <c r="H330" s="48"/>
      <c r="I330" s="44"/>
      <c r="J330" s="44"/>
      <c r="K330" s="44"/>
      <c r="L330" s="44"/>
      <c r="M330" s="44"/>
      <c r="N330" s="44"/>
      <c r="O330" s="44"/>
      <c r="P330" s="3"/>
      <c r="Q330" s="44"/>
      <c r="R330" s="3"/>
    </row>
    <row r="331" spans="5:18" x14ac:dyDescent="0.25">
      <c r="E331" s="71"/>
      <c r="G331" s="48"/>
      <c r="H331" s="48"/>
      <c r="I331" s="44"/>
      <c r="J331" s="44"/>
      <c r="K331" s="44"/>
      <c r="L331" s="44"/>
      <c r="M331" s="44"/>
      <c r="N331" s="44"/>
      <c r="O331" s="44"/>
      <c r="P331" s="3"/>
      <c r="Q331" s="44"/>
      <c r="R331" s="3"/>
    </row>
    <row r="332" spans="5:18" x14ac:dyDescent="0.25">
      <c r="E332" s="71"/>
      <c r="G332" s="48"/>
      <c r="H332" s="48"/>
      <c r="I332" s="44"/>
      <c r="J332" s="44"/>
      <c r="K332" s="44"/>
      <c r="L332" s="44"/>
      <c r="M332" s="44"/>
      <c r="N332" s="44"/>
      <c r="O332" s="44"/>
      <c r="P332" s="3"/>
      <c r="Q332" s="44"/>
      <c r="R332" s="3"/>
    </row>
    <row r="333" spans="5:18" x14ac:dyDescent="0.25">
      <c r="E333" s="71"/>
      <c r="G333" s="48"/>
      <c r="H333" s="48"/>
      <c r="I333" s="44"/>
      <c r="J333" s="44"/>
      <c r="K333" s="44"/>
      <c r="L333" s="44"/>
      <c r="M333" s="44"/>
      <c r="N333" s="44"/>
      <c r="O333" s="44"/>
      <c r="P333" s="3"/>
      <c r="Q333" s="44"/>
      <c r="R333" s="3"/>
    </row>
    <row r="334" spans="5:18" x14ac:dyDescent="0.25">
      <c r="E334" s="71"/>
      <c r="G334" s="48"/>
      <c r="H334" s="48"/>
      <c r="I334" s="44"/>
      <c r="J334" s="44"/>
      <c r="K334" s="44"/>
      <c r="L334" s="44"/>
      <c r="M334" s="44"/>
      <c r="N334" s="44"/>
      <c r="O334" s="44"/>
      <c r="P334" s="3"/>
      <c r="Q334" s="44"/>
      <c r="R334" s="3"/>
    </row>
    <row r="335" spans="5:18" x14ac:dyDescent="0.25">
      <c r="G335" s="48"/>
      <c r="H335" s="48"/>
      <c r="I335" s="44"/>
      <c r="J335" s="44"/>
      <c r="K335" s="44"/>
      <c r="L335" s="44"/>
      <c r="M335" s="44"/>
      <c r="N335" s="44"/>
      <c r="O335" s="44"/>
      <c r="P335" s="3"/>
      <c r="Q335" s="44"/>
      <c r="R335" s="3"/>
    </row>
    <row r="336" spans="5:18" x14ac:dyDescent="0.25">
      <c r="G336" s="48"/>
      <c r="H336" s="48"/>
      <c r="I336" s="44"/>
      <c r="J336" s="44"/>
      <c r="K336" s="44"/>
      <c r="L336" s="44"/>
      <c r="M336" s="44"/>
      <c r="N336" s="44"/>
      <c r="O336" s="44"/>
      <c r="P336" s="3"/>
      <c r="Q336" s="44"/>
      <c r="R336" s="3"/>
    </row>
    <row r="337" spans="7:18" x14ac:dyDescent="0.25">
      <c r="G337" s="48"/>
      <c r="H337" s="48"/>
      <c r="I337" s="44"/>
      <c r="J337" s="44"/>
      <c r="K337" s="44"/>
      <c r="L337" s="44"/>
      <c r="M337" s="44"/>
      <c r="N337" s="44"/>
      <c r="O337" s="44"/>
      <c r="P337" s="3"/>
      <c r="Q337" s="44"/>
      <c r="R337" s="3"/>
    </row>
    <row r="338" spans="7:18" x14ac:dyDescent="0.25">
      <c r="G338" s="48"/>
      <c r="H338" s="48"/>
      <c r="I338" s="44"/>
      <c r="J338" s="44"/>
      <c r="K338" s="44"/>
      <c r="L338" s="44"/>
      <c r="M338" s="44"/>
      <c r="N338" s="44"/>
      <c r="O338" s="44"/>
      <c r="P338" s="3"/>
      <c r="Q338" s="44"/>
      <c r="R338" s="3"/>
    </row>
    <row r="339" spans="7:18" x14ac:dyDescent="0.25">
      <c r="G339" s="48"/>
      <c r="H339" s="48"/>
      <c r="I339" s="44"/>
      <c r="J339" s="44"/>
      <c r="K339" s="44"/>
      <c r="L339" s="44"/>
      <c r="M339" s="44"/>
      <c r="N339" s="44"/>
      <c r="O339" s="44"/>
      <c r="P339" s="3"/>
      <c r="Q339" s="44"/>
      <c r="R339" s="3"/>
    </row>
    <row r="340" spans="7:18" x14ac:dyDescent="0.25">
      <c r="G340" s="48"/>
      <c r="H340" s="48"/>
      <c r="I340" s="44"/>
      <c r="J340" s="44"/>
      <c r="K340" s="44"/>
      <c r="L340" s="44"/>
      <c r="M340" s="44"/>
      <c r="N340" s="44"/>
      <c r="O340" s="44"/>
      <c r="P340" s="3"/>
      <c r="Q340" s="44"/>
      <c r="R340" s="3"/>
    </row>
    <row r="341" spans="7:18" x14ac:dyDescent="0.25">
      <c r="G341" s="48"/>
      <c r="H341" s="48"/>
      <c r="I341" s="44"/>
      <c r="J341" s="44"/>
      <c r="K341" s="44"/>
      <c r="L341" s="44"/>
      <c r="M341" s="44"/>
      <c r="N341" s="44"/>
      <c r="O341" s="44"/>
      <c r="P341" s="3"/>
      <c r="Q341" s="44"/>
      <c r="R341" s="3"/>
    </row>
    <row r="342" spans="7:18" x14ac:dyDescent="0.25">
      <c r="G342" s="48"/>
      <c r="H342" s="48"/>
      <c r="I342" s="44"/>
      <c r="J342" s="44"/>
      <c r="K342" s="44"/>
      <c r="L342" s="44"/>
      <c r="M342" s="44"/>
      <c r="N342" s="44"/>
      <c r="O342" s="44"/>
      <c r="P342" s="3"/>
      <c r="Q342" s="44"/>
      <c r="R342" s="3"/>
    </row>
    <row r="343" spans="7:18" x14ac:dyDescent="0.25">
      <c r="G343" s="48"/>
      <c r="H343" s="48"/>
      <c r="I343" s="44"/>
      <c r="J343" s="44"/>
      <c r="K343" s="44"/>
      <c r="L343" s="44"/>
      <c r="M343" s="44"/>
      <c r="N343" s="44"/>
      <c r="O343" s="44"/>
      <c r="P343" s="3"/>
      <c r="Q343" s="44"/>
      <c r="R343" s="3"/>
    </row>
    <row r="344" spans="7:18" x14ac:dyDescent="0.25">
      <c r="G344" s="48"/>
      <c r="H344" s="48"/>
      <c r="I344" s="44"/>
      <c r="J344" s="44"/>
      <c r="K344" s="44"/>
      <c r="L344" s="44"/>
      <c r="M344" s="44"/>
      <c r="N344" s="44"/>
      <c r="O344" s="44"/>
      <c r="P344" s="3"/>
      <c r="Q344" s="44"/>
      <c r="R344" s="3"/>
    </row>
    <row r="345" spans="7:18" x14ac:dyDescent="0.25">
      <c r="G345" s="48"/>
      <c r="H345" s="48"/>
      <c r="I345" s="44"/>
      <c r="J345" s="44"/>
      <c r="K345" s="44"/>
      <c r="L345" s="44"/>
      <c r="M345" s="44"/>
      <c r="N345" s="44"/>
      <c r="O345" s="44"/>
      <c r="P345" s="3"/>
      <c r="Q345" s="44"/>
      <c r="R345" s="3"/>
    </row>
    <row r="346" spans="7:18" x14ac:dyDescent="0.25">
      <c r="G346" s="48"/>
      <c r="H346" s="48"/>
      <c r="I346" s="44"/>
      <c r="J346" s="44"/>
      <c r="K346" s="44"/>
      <c r="L346" s="44"/>
      <c r="M346" s="44"/>
      <c r="N346" s="44"/>
      <c r="O346" s="44"/>
      <c r="P346" s="3"/>
      <c r="Q346" s="44"/>
      <c r="R346" s="3"/>
    </row>
    <row r="347" spans="7:18" x14ac:dyDescent="0.25">
      <c r="G347" s="48"/>
      <c r="H347" s="48"/>
      <c r="I347" s="44"/>
      <c r="J347" s="44"/>
      <c r="K347" s="44"/>
      <c r="L347" s="44"/>
      <c r="M347" s="44"/>
      <c r="N347" s="44"/>
      <c r="O347" s="44"/>
      <c r="P347" s="3"/>
      <c r="Q347" s="44"/>
      <c r="R347" s="3"/>
    </row>
    <row r="348" spans="7:18" x14ac:dyDescent="0.25">
      <c r="G348" s="48"/>
      <c r="H348" s="48"/>
      <c r="I348" s="44"/>
      <c r="J348" s="44"/>
      <c r="K348" s="44"/>
      <c r="L348" s="44"/>
      <c r="M348" s="44"/>
      <c r="N348" s="44"/>
      <c r="O348" s="44"/>
      <c r="P348" s="3"/>
      <c r="Q348" s="44"/>
      <c r="R348" s="3"/>
    </row>
    <row r="349" spans="7:18" x14ac:dyDescent="0.25">
      <c r="G349" s="48"/>
      <c r="H349" s="48"/>
      <c r="I349" s="44"/>
      <c r="J349" s="44"/>
      <c r="K349" s="44"/>
      <c r="L349" s="44"/>
      <c r="M349" s="44"/>
      <c r="N349" s="44"/>
      <c r="O349" s="44"/>
      <c r="P349" s="3"/>
      <c r="Q349" s="44"/>
      <c r="R349" s="3"/>
    </row>
    <row r="350" spans="7:18" x14ac:dyDescent="0.25">
      <c r="G350" s="48"/>
      <c r="H350" s="48"/>
      <c r="I350" s="44"/>
      <c r="J350" s="44"/>
      <c r="K350" s="44"/>
      <c r="L350" s="44"/>
      <c r="M350" s="44"/>
      <c r="N350" s="44"/>
      <c r="O350" s="44"/>
      <c r="P350" s="3"/>
      <c r="Q350" s="44"/>
      <c r="R350" s="3"/>
    </row>
    <row r="351" spans="7:18" x14ac:dyDescent="0.25">
      <c r="G351" s="48"/>
      <c r="H351" s="48"/>
      <c r="I351" s="44"/>
      <c r="J351" s="44"/>
      <c r="K351" s="44"/>
      <c r="L351" s="44"/>
      <c r="M351" s="44"/>
      <c r="N351" s="44"/>
      <c r="O351" s="44"/>
      <c r="P351" s="3"/>
      <c r="Q351" s="44"/>
      <c r="R351" s="3"/>
    </row>
    <row r="352" spans="7:18" x14ac:dyDescent="0.25">
      <c r="G352" s="48"/>
      <c r="H352" s="48"/>
      <c r="I352" s="44"/>
      <c r="J352" s="44"/>
      <c r="K352" s="44"/>
      <c r="L352" s="44"/>
      <c r="M352" s="44"/>
      <c r="N352" s="44"/>
      <c r="O352" s="44"/>
      <c r="P352" s="3"/>
      <c r="Q352" s="44"/>
      <c r="R352" s="3"/>
    </row>
    <row r="353" spans="7:18" x14ac:dyDescent="0.25">
      <c r="G353" s="48"/>
      <c r="H353" s="48"/>
      <c r="I353" s="44"/>
      <c r="J353" s="44"/>
      <c r="K353" s="44"/>
      <c r="L353" s="44"/>
      <c r="M353" s="44"/>
      <c r="N353" s="44"/>
      <c r="O353" s="44"/>
      <c r="P353" s="3"/>
      <c r="Q353" s="44"/>
      <c r="R353" s="3"/>
    </row>
    <row r="354" spans="7:18" x14ac:dyDescent="0.25">
      <c r="G354" s="48"/>
      <c r="H354" s="48"/>
      <c r="I354" s="44"/>
      <c r="J354" s="44"/>
      <c r="K354" s="44"/>
      <c r="L354" s="44"/>
      <c r="M354" s="44"/>
      <c r="N354" s="44"/>
      <c r="O354" s="44"/>
      <c r="P354" s="3"/>
      <c r="Q354" s="44"/>
      <c r="R354" s="3"/>
    </row>
    <row r="355" spans="7:18" x14ac:dyDescent="0.25">
      <c r="G355" s="48"/>
      <c r="H355" s="48"/>
      <c r="I355" s="44"/>
      <c r="J355" s="44"/>
      <c r="K355" s="44"/>
      <c r="L355" s="44"/>
      <c r="M355" s="44"/>
      <c r="N355" s="44"/>
      <c r="O355" s="44"/>
      <c r="P355" s="3"/>
      <c r="Q355" s="44"/>
      <c r="R355" s="3"/>
    </row>
    <row r="356" spans="7:18" x14ac:dyDescent="0.25">
      <c r="G356" s="48"/>
      <c r="H356" s="48"/>
      <c r="I356" s="44"/>
      <c r="J356" s="44"/>
      <c r="K356" s="44"/>
      <c r="L356" s="44"/>
      <c r="M356" s="44"/>
      <c r="N356" s="44"/>
      <c r="O356" s="44"/>
      <c r="P356" s="3"/>
      <c r="Q356" s="44"/>
      <c r="R356" s="3"/>
    </row>
    <row r="357" spans="7:18" x14ac:dyDescent="0.25">
      <c r="G357" s="48"/>
      <c r="H357" s="48"/>
      <c r="I357" s="44"/>
      <c r="J357" s="44"/>
      <c r="K357" s="44"/>
      <c r="L357" s="44"/>
      <c r="M357" s="44"/>
      <c r="N357" s="44"/>
      <c r="O357" s="44"/>
      <c r="P357" s="3"/>
      <c r="Q357" s="44"/>
      <c r="R357" s="3"/>
    </row>
    <row r="358" spans="7:18" x14ac:dyDescent="0.25">
      <c r="G358" s="48"/>
      <c r="H358" s="48"/>
      <c r="I358" s="44"/>
      <c r="J358" s="44"/>
      <c r="K358" s="44"/>
      <c r="L358" s="44"/>
      <c r="M358" s="44"/>
      <c r="N358" s="44"/>
      <c r="O358" s="44"/>
      <c r="P358" s="3"/>
      <c r="Q358" s="44"/>
      <c r="R358" s="3"/>
    </row>
    <row r="359" spans="7:18" x14ac:dyDescent="0.25">
      <c r="G359" s="48"/>
      <c r="H359" s="48"/>
      <c r="I359" s="44"/>
      <c r="J359" s="44"/>
      <c r="K359" s="44"/>
      <c r="L359" s="44"/>
      <c r="M359" s="44"/>
      <c r="N359" s="44"/>
      <c r="O359" s="44"/>
      <c r="P359" s="3"/>
      <c r="Q359" s="44"/>
      <c r="R359" s="3"/>
    </row>
    <row r="360" spans="7:18" x14ac:dyDescent="0.25">
      <c r="G360" s="48"/>
      <c r="H360" s="48"/>
      <c r="I360" s="44"/>
      <c r="J360" s="44"/>
      <c r="K360" s="44"/>
      <c r="L360" s="44"/>
      <c r="M360" s="44"/>
      <c r="N360" s="44"/>
      <c r="O360" s="44"/>
      <c r="P360" s="3"/>
      <c r="Q360" s="44"/>
      <c r="R360" s="3"/>
    </row>
    <row r="361" spans="7:18" x14ac:dyDescent="0.25">
      <c r="G361" s="48"/>
      <c r="H361" s="48"/>
      <c r="I361" s="44"/>
      <c r="J361" s="44"/>
      <c r="K361" s="44"/>
      <c r="L361" s="44"/>
      <c r="M361" s="44"/>
      <c r="N361" s="44"/>
      <c r="O361" s="44"/>
      <c r="P361" s="3"/>
      <c r="Q361" s="44"/>
      <c r="R361" s="3"/>
    </row>
    <row r="362" spans="7:18" x14ac:dyDescent="0.25">
      <c r="G362" s="48"/>
      <c r="H362" s="48"/>
      <c r="I362" s="44"/>
      <c r="J362" s="44"/>
      <c r="K362" s="44"/>
      <c r="L362" s="44"/>
      <c r="M362" s="44"/>
      <c r="N362" s="44"/>
      <c r="O362" s="44"/>
      <c r="P362" s="3"/>
      <c r="Q362" s="44"/>
      <c r="R362" s="3"/>
    </row>
    <row r="363" spans="7:18" x14ac:dyDescent="0.25">
      <c r="G363" s="48"/>
      <c r="H363" s="48"/>
      <c r="I363" s="44"/>
      <c r="J363" s="44"/>
      <c r="K363" s="44"/>
      <c r="L363" s="44"/>
      <c r="M363" s="44"/>
      <c r="N363" s="44"/>
      <c r="O363" s="44"/>
      <c r="P363" s="3"/>
      <c r="Q363" s="44"/>
      <c r="R363" s="3"/>
    </row>
    <row r="364" spans="7:18" x14ac:dyDescent="0.25">
      <c r="G364" s="48"/>
      <c r="H364" s="48"/>
      <c r="I364" s="44"/>
      <c r="J364" s="44"/>
      <c r="K364" s="44"/>
      <c r="L364" s="44"/>
      <c r="M364" s="44"/>
      <c r="N364" s="44"/>
      <c r="O364" s="44"/>
      <c r="P364" s="3"/>
      <c r="Q364" s="44"/>
      <c r="R364" s="3"/>
    </row>
    <row r="365" spans="7:18" x14ac:dyDescent="0.25">
      <c r="G365" s="48"/>
      <c r="H365" s="48"/>
      <c r="I365" s="44"/>
      <c r="J365" s="44"/>
      <c r="K365" s="44"/>
      <c r="L365" s="44"/>
      <c r="M365" s="44"/>
      <c r="N365" s="44"/>
      <c r="O365" s="44"/>
      <c r="P365" s="3"/>
      <c r="Q365" s="44"/>
      <c r="R365" s="3"/>
    </row>
    <row r="366" spans="7:18" x14ac:dyDescent="0.25">
      <c r="G366" s="48"/>
      <c r="H366" s="48"/>
      <c r="I366" s="44"/>
      <c r="J366" s="44"/>
      <c r="K366" s="44"/>
      <c r="L366" s="44"/>
      <c r="M366" s="44"/>
      <c r="N366" s="44"/>
      <c r="O366" s="44"/>
      <c r="P366" s="3"/>
      <c r="Q366" s="44"/>
      <c r="R366" s="3"/>
    </row>
    <row r="367" spans="7:18" x14ac:dyDescent="0.25">
      <c r="G367" s="48"/>
      <c r="H367" s="48"/>
      <c r="I367" s="44"/>
      <c r="J367" s="44"/>
      <c r="K367" s="44"/>
      <c r="L367" s="44"/>
      <c r="M367" s="44"/>
      <c r="N367" s="44"/>
      <c r="O367" s="44"/>
      <c r="P367" s="3"/>
      <c r="Q367" s="44"/>
      <c r="R367" s="3"/>
    </row>
    <row r="368" spans="7:18" x14ac:dyDescent="0.25">
      <c r="G368" s="48"/>
      <c r="H368" s="48"/>
      <c r="I368" s="44"/>
      <c r="J368" s="44"/>
      <c r="K368" s="44"/>
      <c r="L368" s="44"/>
      <c r="M368" s="44"/>
      <c r="N368" s="44"/>
      <c r="O368" s="44"/>
      <c r="P368" s="3"/>
      <c r="Q368" s="44"/>
      <c r="R368" s="3"/>
    </row>
    <row r="369" spans="7:18" x14ac:dyDescent="0.25">
      <c r="G369" s="48"/>
      <c r="H369" s="48"/>
      <c r="I369" s="44"/>
      <c r="J369" s="44"/>
      <c r="K369" s="44"/>
      <c r="L369" s="44"/>
      <c r="M369" s="44"/>
      <c r="N369" s="44"/>
      <c r="O369" s="44"/>
      <c r="P369" s="3"/>
      <c r="Q369" s="44"/>
      <c r="R369" s="3"/>
    </row>
    <row r="370" spans="7:18" x14ac:dyDescent="0.25">
      <c r="G370" s="48"/>
      <c r="H370" s="48"/>
      <c r="I370" s="44"/>
      <c r="J370" s="44"/>
      <c r="K370" s="44"/>
      <c r="L370" s="44"/>
      <c r="M370" s="44"/>
      <c r="N370" s="44"/>
      <c r="O370" s="44"/>
      <c r="P370" s="3"/>
      <c r="Q370" s="44"/>
      <c r="R370" s="3"/>
    </row>
    <row r="371" spans="7:18" x14ac:dyDescent="0.25">
      <c r="G371" s="48"/>
      <c r="H371" s="48"/>
      <c r="I371" s="44"/>
      <c r="J371" s="44"/>
      <c r="K371" s="44"/>
      <c r="L371" s="44"/>
      <c r="M371" s="44"/>
      <c r="N371" s="44"/>
      <c r="O371" s="44"/>
      <c r="P371" s="3"/>
      <c r="Q371" s="44"/>
      <c r="R371" s="3"/>
    </row>
    <row r="372" spans="7:18" x14ac:dyDescent="0.25">
      <c r="G372" s="48"/>
      <c r="H372" s="48"/>
      <c r="I372" s="44"/>
      <c r="J372" s="44"/>
      <c r="K372" s="44"/>
      <c r="L372" s="44"/>
      <c r="M372" s="44"/>
      <c r="N372" s="44"/>
      <c r="O372" s="44"/>
      <c r="P372" s="3"/>
      <c r="Q372" s="44"/>
      <c r="R372" s="3"/>
    </row>
    <row r="373" spans="7:18" x14ac:dyDescent="0.25">
      <c r="G373" s="48"/>
      <c r="H373" s="48"/>
      <c r="I373" s="44"/>
      <c r="J373" s="44"/>
      <c r="K373" s="44"/>
      <c r="L373" s="44"/>
      <c r="M373" s="44"/>
      <c r="N373" s="44"/>
      <c r="O373" s="44"/>
      <c r="P373" s="3"/>
      <c r="Q373" s="44"/>
      <c r="R373" s="3"/>
    </row>
    <row r="374" spans="7:18" x14ac:dyDescent="0.25">
      <c r="G374" s="48"/>
      <c r="H374" s="48"/>
      <c r="I374" s="44"/>
      <c r="J374" s="44"/>
      <c r="K374" s="44"/>
      <c r="L374" s="44"/>
      <c r="M374" s="44"/>
      <c r="N374" s="44"/>
      <c r="O374" s="44"/>
      <c r="P374" s="3"/>
      <c r="Q374" s="44"/>
      <c r="R374" s="3"/>
    </row>
    <row r="375" spans="7:18" x14ac:dyDescent="0.25">
      <c r="G375" s="48"/>
      <c r="H375" s="48"/>
      <c r="I375" s="44"/>
      <c r="J375" s="44"/>
      <c r="K375" s="44"/>
      <c r="L375" s="44"/>
      <c r="M375" s="44"/>
      <c r="N375" s="44"/>
      <c r="O375" s="44"/>
      <c r="P375" s="3"/>
      <c r="Q375" s="44"/>
      <c r="R375" s="3"/>
    </row>
    <row r="376" spans="7:18" x14ac:dyDescent="0.25">
      <c r="G376" s="48"/>
      <c r="H376" s="48"/>
      <c r="I376" s="44"/>
      <c r="J376" s="44"/>
      <c r="K376" s="44"/>
      <c r="L376" s="44"/>
      <c r="M376" s="44"/>
      <c r="N376" s="44"/>
      <c r="O376" s="44"/>
      <c r="P376" s="3"/>
      <c r="Q376" s="44"/>
      <c r="R376" s="3"/>
    </row>
    <row r="377" spans="7:18" x14ac:dyDescent="0.25">
      <c r="G377" s="48"/>
      <c r="H377" s="48"/>
      <c r="I377" s="44"/>
      <c r="J377" s="44"/>
      <c r="K377" s="44"/>
      <c r="L377" s="44"/>
      <c r="M377" s="44"/>
      <c r="N377" s="44"/>
      <c r="O377" s="44"/>
      <c r="P377" s="3"/>
      <c r="Q377" s="44"/>
      <c r="R377" s="3"/>
    </row>
    <row r="378" spans="7:18" x14ac:dyDescent="0.25">
      <c r="G378" s="48"/>
      <c r="H378" s="48"/>
      <c r="I378" s="44"/>
      <c r="J378" s="44"/>
      <c r="K378" s="44"/>
      <c r="L378" s="44"/>
      <c r="M378" s="44"/>
      <c r="N378" s="44"/>
      <c r="O378" s="44"/>
      <c r="P378" s="3"/>
      <c r="Q378" s="44"/>
      <c r="R378" s="3"/>
    </row>
    <row r="379" spans="7:18" x14ac:dyDescent="0.25">
      <c r="G379" s="48"/>
      <c r="H379" s="48"/>
      <c r="I379" s="44"/>
      <c r="J379" s="44"/>
      <c r="K379" s="44"/>
      <c r="L379" s="44"/>
      <c r="M379" s="44"/>
      <c r="N379" s="44"/>
      <c r="O379" s="44"/>
      <c r="P379" s="3"/>
      <c r="Q379" s="44"/>
      <c r="R379" s="3"/>
    </row>
    <row r="380" spans="7:18" x14ac:dyDescent="0.25">
      <c r="G380" s="48"/>
      <c r="H380" s="48"/>
      <c r="I380" s="44"/>
      <c r="J380" s="44"/>
      <c r="K380" s="44"/>
      <c r="L380" s="44"/>
      <c r="M380" s="44"/>
      <c r="N380" s="44"/>
      <c r="O380" s="44"/>
      <c r="P380" s="3"/>
      <c r="Q380" s="44"/>
      <c r="R380" s="3"/>
    </row>
    <row r="381" spans="7:18" x14ac:dyDescent="0.25">
      <c r="G381" s="48"/>
      <c r="H381" s="48"/>
      <c r="I381" s="44"/>
      <c r="J381" s="44"/>
      <c r="K381" s="44"/>
      <c r="L381" s="44"/>
      <c r="M381" s="44"/>
      <c r="N381" s="44"/>
      <c r="O381" s="44"/>
      <c r="P381" s="3"/>
      <c r="Q381" s="44"/>
      <c r="R381" s="3"/>
    </row>
    <row r="382" spans="7:18" x14ac:dyDescent="0.25">
      <c r="G382" s="48"/>
      <c r="H382" s="48"/>
      <c r="I382" s="44"/>
      <c r="J382" s="44"/>
      <c r="K382" s="44"/>
      <c r="L382" s="44"/>
      <c r="M382" s="44"/>
      <c r="N382" s="44"/>
      <c r="O382" s="44"/>
      <c r="P382" s="3"/>
      <c r="Q382" s="44"/>
      <c r="R382" s="3"/>
    </row>
    <row r="383" spans="7:18" x14ac:dyDescent="0.25">
      <c r="G383" s="48"/>
      <c r="H383" s="48"/>
      <c r="I383" s="44"/>
      <c r="J383" s="44"/>
      <c r="K383" s="44"/>
      <c r="L383" s="44"/>
      <c r="M383" s="44"/>
      <c r="N383" s="44"/>
      <c r="O383" s="44"/>
      <c r="P383" s="3"/>
      <c r="Q383" s="44"/>
      <c r="R383" s="3"/>
    </row>
    <row r="384" spans="7:18" x14ac:dyDescent="0.25">
      <c r="G384" s="48"/>
      <c r="H384" s="48"/>
      <c r="I384" s="44"/>
      <c r="J384" s="44"/>
      <c r="K384" s="44"/>
      <c r="L384" s="44"/>
      <c r="M384" s="44"/>
      <c r="N384" s="44"/>
      <c r="O384" s="44"/>
      <c r="P384" s="3"/>
      <c r="Q384" s="44"/>
      <c r="R384" s="3"/>
    </row>
    <row r="385" spans="7:18" x14ac:dyDescent="0.25">
      <c r="G385" s="48"/>
      <c r="H385" s="48"/>
      <c r="I385" s="44"/>
      <c r="J385" s="44"/>
      <c r="K385" s="44"/>
      <c r="L385" s="44"/>
      <c r="M385" s="44"/>
      <c r="N385" s="44"/>
      <c r="O385" s="44"/>
      <c r="P385" s="3"/>
      <c r="Q385" s="44"/>
      <c r="R385" s="3"/>
    </row>
    <row r="386" spans="7:18" x14ac:dyDescent="0.25">
      <c r="G386" s="48"/>
      <c r="H386" s="48"/>
      <c r="I386" s="44"/>
      <c r="J386" s="44"/>
      <c r="K386" s="44"/>
      <c r="L386" s="44"/>
      <c r="M386" s="44"/>
      <c r="N386" s="44"/>
      <c r="O386" s="44"/>
      <c r="P386" s="3"/>
      <c r="Q386" s="44"/>
      <c r="R386" s="3"/>
    </row>
    <row r="387" spans="7:18" x14ac:dyDescent="0.25">
      <c r="G387" s="48"/>
      <c r="H387" s="48"/>
      <c r="I387" s="44"/>
      <c r="J387" s="44"/>
      <c r="K387" s="44"/>
      <c r="L387" s="44"/>
      <c r="M387" s="44"/>
      <c r="N387" s="44"/>
      <c r="O387" s="44"/>
      <c r="P387" s="3"/>
      <c r="Q387" s="44"/>
      <c r="R387" s="3"/>
    </row>
    <row r="388" spans="7:18" x14ac:dyDescent="0.25">
      <c r="G388" s="48"/>
      <c r="H388" s="48"/>
      <c r="I388" s="44"/>
      <c r="J388" s="44"/>
      <c r="K388" s="44"/>
      <c r="L388" s="44"/>
      <c r="M388" s="44"/>
      <c r="N388" s="44"/>
      <c r="O388" s="44"/>
      <c r="P388" s="3"/>
      <c r="Q388" s="44"/>
      <c r="R388" s="3"/>
    </row>
    <row r="389" spans="7:18" x14ac:dyDescent="0.25">
      <c r="G389" s="48"/>
      <c r="H389" s="48"/>
      <c r="I389" s="44"/>
      <c r="J389" s="44"/>
      <c r="K389" s="44"/>
      <c r="L389" s="44"/>
      <c r="M389" s="44"/>
      <c r="N389" s="44"/>
      <c r="O389" s="44"/>
      <c r="P389" s="3"/>
      <c r="Q389" s="44"/>
      <c r="R389" s="3"/>
    </row>
    <row r="390" spans="7:18" x14ac:dyDescent="0.25">
      <c r="G390" s="48"/>
      <c r="H390" s="48"/>
      <c r="I390" s="44"/>
      <c r="J390" s="44"/>
      <c r="K390" s="44"/>
      <c r="L390" s="44"/>
      <c r="M390" s="44"/>
      <c r="N390" s="44"/>
      <c r="O390" s="44"/>
      <c r="P390" s="3"/>
      <c r="Q390" s="44"/>
      <c r="R390" s="3"/>
    </row>
    <row r="391" spans="7:18" x14ac:dyDescent="0.25">
      <c r="G391" s="48"/>
      <c r="H391" s="48"/>
      <c r="I391" s="44"/>
      <c r="J391" s="44"/>
      <c r="K391" s="44"/>
      <c r="L391" s="44"/>
      <c r="M391" s="44"/>
      <c r="N391" s="44"/>
      <c r="O391" s="44"/>
      <c r="P391" s="3"/>
      <c r="Q391" s="44"/>
      <c r="R391" s="3"/>
    </row>
    <row r="392" spans="7:18" x14ac:dyDescent="0.25">
      <c r="G392" s="48"/>
      <c r="H392" s="48"/>
      <c r="I392" s="44"/>
      <c r="J392" s="44"/>
      <c r="K392" s="44"/>
      <c r="L392" s="44"/>
      <c r="M392" s="44"/>
      <c r="N392" s="44"/>
      <c r="O392" s="44"/>
      <c r="P392" s="3"/>
      <c r="Q392" s="44"/>
      <c r="R392" s="3"/>
    </row>
    <row r="393" spans="7:18" x14ac:dyDescent="0.25">
      <c r="G393" s="48"/>
      <c r="H393" s="48"/>
      <c r="I393" s="44"/>
      <c r="J393" s="44"/>
      <c r="K393" s="44"/>
      <c r="L393" s="44"/>
      <c r="M393" s="44"/>
      <c r="N393" s="44"/>
      <c r="O393" s="44"/>
      <c r="P393" s="3"/>
      <c r="Q393" s="44"/>
      <c r="R393" s="3"/>
    </row>
    <row r="394" spans="7:18" x14ac:dyDescent="0.25">
      <c r="G394" s="48"/>
      <c r="H394" s="48"/>
      <c r="I394" s="44"/>
      <c r="J394" s="44"/>
      <c r="K394" s="44"/>
      <c r="L394" s="44"/>
      <c r="M394" s="44"/>
      <c r="N394" s="44"/>
      <c r="O394" s="44"/>
      <c r="P394" s="3"/>
      <c r="Q394" s="44"/>
      <c r="R394" s="3"/>
    </row>
    <row r="395" spans="7:18" x14ac:dyDescent="0.25">
      <c r="G395" s="48"/>
      <c r="H395" s="48"/>
      <c r="I395" s="44"/>
      <c r="J395" s="44"/>
      <c r="K395" s="44"/>
      <c r="L395" s="44"/>
      <c r="M395" s="44"/>
      <c r="N395" s="44"/>
      <c r="O395" s="44"/>
      <c r="P395" s="3"/>
      <c r="Q395" s="44"/>
      <c r="R395" s="3"/>
    </row>
    <row r="396" spans="7:18" x14ac:dyDescent="0.25">
      <c r="G396" s="48"/>
      <c r="H396" s="48"/>
      <c r="I396" s="44"/>
      <c r="J396" s="44"/>
      <c r="K396" s="44"/>
      <c r="L396" s="44"/>
      <c r="M396" s="44"/>
      <c r="N396" s="44"/>
      <c r="O396" s="44"/>
      <c r="P396" s="3"/>
      <c r="Q396" s="44"/>
      <c r="R396" s="3"/>
    </row>
    <row r="397" spans="7:18" x14ac:dyDescent="0.25">
      <c r="G397" s="48"/>
      <c r="H397" s="48"/>
      <c r="I397" s="44"/>
      <c r="J397" s="44"/>
      <c r="K397" s="44"/>
      <c r="L397" s="44"/>
      <c r="M397" s="44"/>
      <c r="N397" s="44"/>
      <c r="O397" s="44"/>
      <c r="P397" s="3"/>
      <c r="Q397" s="44"/>
      <c r="R397" s="3"/>
    </row>
    <row r="398" spans="7:18" x14ac:dyDescent="0.25">
      <c r="G398" s="48"/>
      <c r="H398" s="48"/>
      <c r="I398" s="44"/>
      <c r="J398" s="44"/>
      <c r="K398" s="44"/>
      <c r="L398" s="44"/>
      <c r="M398" s="44"/>
      <c r="N398" s="44"/>
      <c r="O398" s="44"/>
      <c r="P398" s="3"/>
      <c r="Q398" s="44"/>
      <c r="R398" s="3"/>
    </row>
    <row r="399" spans="7:18" x14ac:dyDescent="0.25">
      <c r="G399" s="48"/>
      <c r="H399" s="48"/>
      <c r="I399" s="44"/>
      <c r="J399" s="44"/>
      <c r="K399" s="44"/>
      <c r="L399" s="44"/>
      <c r="M399" s="44"/>
      <c r="N399" s="44"/>
      <c r="O399" s="44"/>
      <c r="P399" s="3"/>
      <c r="Q399" s="44"/>
      <c r="R399" s="3"/>
    </row>
    <row r="400" spans="7:18" x14ac:dyDescent="0.25">
      <c r="G400" s="48"/>
      <c r="H400" s="48"/>
      <c r="I400" s="44"/>
      <c r="J400" s="44"/>
      <c r="K400" s="44"/>
      <c r="L400" s="44"/>
      <c r="M400" s="44"/>
      <c r="N400" s="44"/>
      <c r="O400" s="44"/>
      <c r="P400" s="3"/>
      <c r="Q400" s="44"/>
      <c r="R400" s="3"/>
    </row>
    <row r="401" spans="9:18" x14ac:dyDescent="0.25">
      <c r="I401" s="3"/>
      <c r="J401" s="3"/>
      <c r="K401" s="3"/>
      <c r="L401" s="44"/>
      <c r="M401" s="44"/>
      <c r="N401" s="44"/>
      <c r="O401" s="44"/>
      <c r="P401" s="3"/>
      <c r="Q401" s="44"/>
      <c r="R401" s="3"/>
    </row>
    <row r="402" spans="9:18" x14ac:dyDescent="0.25">
      <c r="I402" s="3"/>
      <c r="J402" s="3"/>
      <c r="K402" s="3"/>
      <c r="L402" s="44"/>
      <c r="M402" s="44"/>
      <c r="N402" s="44"/>
      <c r="O402" s="44"/>
      <c r="P402" s="3"/>
      <c r="Q402" s="44"/>
      <c r="R402" s="3"/>
    </row>
    <row r="403" spans="9:18" x14ac:dyDescent="0.25">
      <c r="I403" s="3"/>
      <c r="J403" s="3"/>
      <c r="K403" s="3"/>
      <c r="L403" s="44"/>
      <c r="M403" s="44"/>
      <c r="N403" s="44"/>
      <c r="O403" s="44"/>
      <c r="P403" s="3"/>
      <c r="Q403" s="44"/>
      <c r="R403" s="3"/>
    </row>
    <row r="404" spans="9:18" x14ac:dyDescent="0.25">
      <c r="I404" s="3"/>
      <c r="J404" s="3"/>
      <c r="K404" s="3"/>
      <c r="L404" s="44"/>
      <c r="M404" s="44"/>
      <c r="N404" s="44"/>
      <c r="O404" s="44"/>
      <c r="P404" s="3"/>
      <c r="Q404" s="44"/>
      <c r="R404" s="3"/>
    </row>
    <row r="405" spans="9:18" x14ac:dyDescent="0.25">
      <c r="I405" s="3"/>
      <c r="J405" s="3"/>
      <c r="K405" s="3"/>
      <c r="L405" s="44"/>
      <c r="M405" s="44"/>
      <c r="N405" s="44"/>
      <c r="O405" s="3"/>
      <c r="P405" s="3"/>
      <c r="Q405" s="44"/>
      <c r="R405" s="3"/>
    </row>
    <row r="406" spans="9:18" x14ac:dyDescent="0.25">
      <c r="I406" s="3"/>
      <c r="J406" s="3"/>
      <c r="K406" s="3"/>
      <c r="L406" s="44"/>
      <c r="M406" s="44"/>
      <c r="N406" s="44"/>
      <c r="O406" s="3"/>
      <c r="P406" s="3"/>
      <c r="Q406" s="44"/>
      <c r="R406" s="3"/>
    </row>
    <row r="407" spans="9:18" x14ac:dyDescent="0.25">
      <c r="I407" s="3"/>
      <c r="J407" s="3"/>
      <c r="K407" s="3"/>
      <c r="L407" s="44"/>
      <c r="M407" s="44"/>
      <c r="N407" s="44"/>
      <c r="O407" s="3"/>
      <c r="P407" s="3"/>
      <c r="Q407" s="44"/>
      <c r="R407" s="3"/>
    </row>
    <row r="408" spans="9:18" x14ac:dyDescent="0.25">
      <c r="I408" s="3"/>
      <c r="J408" s="3"/>
      <c r="K408" s="3"/>
      <c r="L408" s="44"/>
      <c r="M408" s="44"/>
      <c r="N408" s="44"/>
      <c r="O408" s="3"/>
      <c r="P408" s="3"/>
      <c r="Q408" s="44"/>
      <c r="R408" s="3"/>
    </row>
  </sheetData>
  <mergeCells count="3">
    <mergeCell ref="A1:F1"/>
    <mergeCell ref="A2:F2"/>
    <mergeCell ref="A3:F3"/>
  </mergeCells>
  <printOptions horizontalCentered="1"/>
  <pageMargins left="0" right="0" top="0.25" bottom="0.25" header="0.3" footer="0.3"/>
  <pageSetup scale="60" orientation="landscape" r:id="rId1"/>
  <ignoredErrors>
    <ignoredError sqref="F34:F48 F181 F194 D14:D29 D8:D12 D33:D128 D134:D140 D143:D158 D166:D189 D197:D199 D201:D203 D205:D206 D209:D211 D213:D214 D217:D221 D194" formulaRange="1"/>
    <ignoredError sqref="D159 O141 F115:F116 F195 F1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Year End</vt:lpstr>
      <vt:lpstr>'Year End'!Print_Area</vt:lpstr>
      <vt:lpstr>'Year End'!Print_Titles</vt:lpstr>
    </vt:vector>
  </TitlesOfParts>
  <Company>Yeo &amp; Yeo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Witt</dc:creator>
  <cp:lastModifiedBy>stewit</cp:lastModifiedBy>
  <cp:lastPrinted>2017-07-19T12:16:01Z</cp:lastPrinted>
  <dcterms:created xsi:type="dcterms:W3CDTF">2014-09-11T22:55:20Z</dcterms:created>
  <dcterms:modified xsi:type="dcterms:W3CDTF">2017-09-07T23:38:00Z</dcterms:modified>
</cp:coreProperties>
</file>