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okes\Downloads\"/>
    </mc:Choice>
  </mc:AlternateContent>
  <xr:revisionPtr revIDLastSave="0" documentId="13_ncr:1_{04D466F9-8001-4D25-9259-9D7497DF1B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vs. Actuals" sheetId="1" r:id="rId1"/>
  </sheets>
  <definedNames>
    <definedName name="_xlnm.Print_Titles" localSheetId="0">'Budget vs. Actuals'!$1:$6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5" i="1" l="1"/>
  <c r="S145" i="1"/>
  <c r="R145" i="1"/>
  <c r="T145" i="1" s="1"/>
  <c r="Q145" i="1"/>
  <c r="P145" i="1"/>
  <c r="M145" i="1"/>
  <c r="L145" i="1"/>
  <c r="I145" i="1"/>
  <c r="H145" i="1"/>
  <c r="E145" i="1"/>
  <c r="B145" i="1"/>
  <c r="D145" i="1" s="1"/>
  <c r="S144" i="1"/>
  <c r="R144" i="1"/>
  <c r="T144" i="1" s="1"/>
  <c r="O144" i="1"/>
  <c r="Q144" i="1" s="1"/>
  <c r="M144" i="1"/>
  <c r="K144" i="1"/>
  <c r="L144" i="1" s="1"/>
  <c r="H144" i="1"/>
  <c r="G144" i="1"/>
  <c r="I144" i="1" s="1"/>
  <c r="E144" i="1"/>
  <c r="C144" i="1"/>
  <c r="D144" i="1" s="1"/>
  <c r="S143" i="1"/>
  <c r="O143" i="1"/>
  <c r="Q143" i="1" s="1"/>
  <c r="M143" i="1"/>
  <c r="K143" i="1"/>
  <c r="L143" i="1" s="1"/>
  <c r="G143" i="1"/>
  <c r="I143" i="1" s="1"/>
  <c r="F143" i="1"/>
  <c r="H143" i="1" s="1"/>
  <c r="D143" i="1"/>
  <c r="C143" i="1"/>
  <c r="E143" i="1" s="1"/>
  <c r="S142" i="1"/>
  <c r="R142" i="1"/>
  <c r="O142" i="1"/>
  <c r="Q142" i="1" s="1"/>
  <c r="M142" i="1"/>
  <c r="L142" i="1"/>
  <c r="K142" i="1"/>
  <c r="G142" i="1"/>
  <c r="D142" i="1"/>
  <c r="C142" i="1"/>
  <c r="E142" i="1" s="1"/>
  <c r="R141" i="1"/>
  <c r="O141" i="1"/>
  <c r="Q141" i="1" s="1"/>
  <c r="M141" i="1"/>
  <c r="L141" i="1"/>
  <c r="K141" i="1"/>
  <c r="G141" i="1"/>
  <c r="D141" i="1"/>
  <c r="C141" i="1"/>
  <c r="E141" i="1" s="1"/>
  <c r="R140" i="1"/>
  <c r="O140" i="1"/>
  <c r="Q140" i="1" s="1"/>
  <c r="M140" i="1"/>
  <c r="L140" i="1"/>
  <c r="K140" i="1"/>
  <c r="G140" i="1"/>
  <c r="D140" i="1"/>
  <c r="C140" i="1"/>
  <c r="E140" i="1" s="1"/>
  <c r="S139" i="1"/>
  <c r="R139" i="1"/>
  <c r="O139" i="1"/>
  <c r="Q139" i="1" s="1"/>
  <c r="M139" i="1"/>
  <c r="L139" i="1"/>
  <c r="K139" i="1"/>
  <c r="G139" i="1"/>
  <c r="D139" i="1"/>
  <c r="C139" i="1"/>
  <c r="E139" i="1" s="1"/>
  <c r="S138" i="1"/>
  <c r="R138" i="1"/>
  <c r="O138" i="1"/>
  <c r="Q138" i="1" s="1"/>
  <c r="M138" i="1"/>
  <c r="L138" i="1"/>
  <c r="K138" i="1"/>
  <c r="G138" i="1"/>
  <c r="D138" i="1"/>
  <c r="C138" i="1"/>
  <c r="E138" i="1" s="1"/>
  <c r="S137" i="1"/>
  <c r="R137" i="1"/>
  <c r="O137" i="1"/>
  <c r="Q137" i="1" s="1"/>
  <c r="M137" i="1"/>
  <c r="L137" i="1"/>
  <c r="K137" i="1"/>
  <c r="G137" i="1"/>
  <c r="D137" i="1"/>
  <c r="C137" i="1"/>
  <c r="E137" i="1" s="1"/>
  <c r="R136" i="1"/>
  <c r="O136" i="1"/>
  <c r="Q136" i="1" s="1"/>
  <c r="M136" i="1"/>
  <c r="L136" i="1"/>
  <c r="K136" i="1"/>
  <c r="G136" i="1"/>
  <c r="D136" i="1"/>
  <c r="C136" i="1"/>
  <c r="E136" i="1" s="1"/>
  <c r="S135" i="1"/>
  <c r="O135" i="1"/>
  <c r="Q135" i="1" s="1"/>
  <c r="M135" i="1"/>
  <c r="L135" i="1"/>
  <c r="K135" i="1"/>
  <c r="G135" i="1"/>
  <c r="C135" i="1"/>
  <c r="E135" i="1" s="1"/>
  <c r="B135" i="1"/>
  <c r="D135" i="1" s="1"/>
  <c r="R134" i="1"/>
  <c r="P134" i="1"/>
  <c r="O134" i="1"/>
  <c r="Q134" i="1" s="1"/>
  <c r="K134" i="1"/>
  <c r="M134" i="1" s="1"/>
  <c r="J134" i="1"/>
  <c r="L134" i="1" s="1"/>
  <c r="I134" i="1"/>
  <c r="G134" i="1"/>
  <c r="H134" i="1" s="1"/>
  <c r="C134" i="1"/>
  <c r="E134" i="1" s="1"/>
  <c r="Q133" i="1"/>
  <c r="O133" i="1"/>
  <c r="P133" i="1" s="1"/>
  <c r="L133" i="1"/>
  <c r="K133" i="1"/>
  <c r="M133" i="1" s="1"/>
  <c r="I133" i="1"/>
  <c r="G133" i="1"/>
  <c r="F133" i="1"/>
  <c r="H133" i="1" s="1"/>
  <c r="C133" i="1"/>
  <c r="B133" i="1"/>
  <c r="R133" i="1" s="1"/>
  <c r="O132" i="1"/>
  <c r="S132" i="1" s="1"/>
  <c r="M132" i="1"/>
  <c r="L132" i="1"/>
  <c r="K132" i="1"/>
  <c r="G132" i="1"/>
  <c r="I132" i="1" s="1"/>
  <c r="F132" i="1"/>
  <c r="R132" i="1" s="1"/>
  <c r="T132" i="1" s="1"/>
  <c r="E132" i="1"/>
  <c r="D132" i="1"/>
  <c r="C132" i="1"/>
  <c r="B132" i="1"/>
  <c r="R131" i="1"/>
  <c r="O131" i="1"/>
  <c r="L131" i="1"/>
  <c r="K131" i="1"/>
  <c r="M131" i="1" s="1"/>
  <c r="G131" i="1"/>
  <c r="E131" i="1"/>
  <c r="C131" i="1"/>
  <c r="D131" i="1" s="1"/>
  <c r="O130" i="1"/>
  <c r="K130" i="1"/>
  <c r="M130" i="1" s="1"/>
  <c r="J130" i="1"/>
  <c r="L130" i="1" s="1"/>
  <c r="I130" i="1"/>
  <c r="H130" i="1"/>
  <c r="G130" i="1"/>
  <c r="F130" i="1"/>
  <c r="D130" i="1"/>
  <c r="C130" i="1"/>
  <c r="E130" i="1" s="1"/>
  <c r="B130" i="1"/>
  <c r="R130" i="1" s="1"/>
  <c r="S129" i="1"/>
  <c r="U129" i="1" s="1"/>
  <c r="R129" i="1"/>
  <c r="T129" i="1" s="1"/>
  <c r="Q129" i="1"/>
  <c r="P129" i="1"/>
  <c r="M129" i="1"/>
  <c r="L129" i="1"/>
  <c r="I129" i="1"/>
  <c r="H129" i="1"/>
  <c r="E129" i="1"/>
  <c r="B129" i="1"/>
  <c r="D129" i="1" s="1"/>
  <c r="R128" i="1"/>
  <c r="O128" i="1"/>
  <c r="K128" i="1"/>
  <c r="M128" i="1" s="1"/>
  <c r="G128" i="1"/>
  <c r="E128" i="1"/>
  <c r="C128" i="1"/>
  <c r="D128" i="1" s="1"/>
  <c r="O127" i="1"/>
  <c r="K127" i="1"/>
  <c r="M127" i="1" s="1"/>
  <c r="G127" i="1"/>
  <c r="C127" i="1"/>
  <c r="B127" i="1"/>
  <c r="R127" i="1" s="1"/>
  <c r="N126" i="1"/>
  <c r="K126" i="1"/>
  <c r="M126" i="1" s="1"/>
  <c r="J126" i="1"/>
  <c r="L126" i="1" s="1"/>
  <c r="F126" i="1"/>
  <c r="B126" i="1"/>
  <c r="D126" i="1" s="1"/>
  <c r="O125" i="1"/>
  <c r="Q125" i="1" s="1"/>
  <c r="M125" i="1"/>
  <c r="L125" i="1"/>
  <c r="K125" i="1"/>
  <c r="J125" i="1"/>
  <c r="R125" i="1" s="1"/>
  <c r="I125" i="1"/>
  <c r="G125" i="1"/>
  <c r="H125" i="1" s="1"/>
  <c r="D125" i="1"/>
  <c r="C125" i="1"/>
  <c r="E125" i="1" s="1"/>
  <c r="O124" i="1"/>
  <c r="K124" i="1"/>
  <c r="J124" i="1"/>
  <c r="R124" i="1" s="1"/>
  <c r="I124" i="1"/>
  <c r="H124" i="1"/>
  <c r="G124" i="1"/>
  <c r="C124" i="1"/>
  <c r="R123" i="1"/>
  <c r="Q123" i="1"/>
  <c r="P123" i="1"/>
  <c r="O123" i="1"/>
  <c r="K123" i="1"/>
  <c r="M123" i="1" s="1"/>
  <c r="J123" i="1"/>
  <c r="L123" i="1" s="1"/>
  <c r="G123" i="1"/>
  <c r="I123" i="1" s="1"/>
  <c r="D123" i="1"/>
  <c r="C123" i="1"/>
  <c r="C126" i="1" s="1"/>
  <c r="S122" i="1"/>
  <c r="U122" i="1" s="1"/>
  <c r="R122" i="1"/>
  <c r="T122" i="1" s="1"/>
  <c r="Q122" i="1"/>
  <c r="P122" i="1"/>
  <c r="M122" i="1"/>
  <c r="L122" i="1"/>
  <c r="I122" i="1"/>
  <c r="H122" i="1"/>
  <c r="E122" i="1"/>
  <c r="D122" i="1"/>
  <c r="O121" i="1"/>
  <c r="Q121" i="1" s="1"/>
  <c r="N121" i="1"/>
  <c r="P121" i="1" s="1"/>
  <c r="M121" i="1"/>
  <c r="J121" i="1"/>
  <c r="C121" i="1"/>
  <c r="E121" i="1" s="1"/>
  <c r="B121" i="1"/>
  <c r="D121" i="1" s="1"/>
  <c r="R120" i="1"/>
  <c r="Q120" i="1"/>
  <c r="P120" i="1"/>
  <c r="O120" i="1"/>
  <c r="L120" i="1"/>
  <c r="K120" i="1"/>
  <c r="K121" i="1" s="1"/>
  <c r="L121" i="1" s="1"/>
  <c r="G120" i="1"/>
  <c r="G121" i="1" s="1"/>
  <c r="I121" i="1" s="1"/>
  <c r="F120" i="1"/>
  <c r="F121" i="1" s="1"/>
  <c r="E120" i="1"/>
  <c r="D120" i="1"/>
  <c r="C120" i="1"/>
  <c r="S119" i="1"/>
  <c r="U119" i="1" s="1"/>
  <c r="R119" i="1"/>
  <c r="T119" i="1" s="1"/>
  <c r="Q119" i="1"/>
  <c r="P119" i="1"/>
  <c r="M119" i="1"/>
  <c r="L119" i="1"/>
  <c r="I119" i="1"/>
  <c r="H119" i="1"/>
  <c r="E119" i="1"/>
  <c r="D119" i="1"/>
  <c r="R118" i="1"/>
  <c r="O118" i="1"/>
  <c r="Q118" i="1" s="1"/>
  <c r="M118" i="1"/>
  <c r="L118" i="1"/>
  <c r="K118" i="1"/>
  <c r="H118" i="1"/>
  <c r="G118" i="1"/>
  <c r="I118" i="1" s="1"/>
  <c r="C118" i="1"/>
  <c r="E118" i="1" s="1"/>
  <c r="O117" i="1"/>
  <c r="Q117" i="1" s="1"/>
  <c r="N117" i="1"/>
  <c r="P117" i="1" s="1"/>
  <c r="J117" i="1"/>
  <c r="F117" i="1"/>
  <c r="B117" i="1"/>
  <c r="R117" i="1" s="1"/>
  <c r="S116" i="1"/>
  <c r="R116" i="1"/>
  <c r="T116" i="1" s="1"/>
  <c r="Q116" i="1"/>
  <c r="P116" i="1"/>
  <c r="O116" i="1"/>
  <c r="M116" i="1"/>
  <c r="K116" i="1"/>
  <c r="L116" i="1" s="1"/>
  <c r="H116" i="1"/>
  <c r="G116" i="1"/>
  <c r="I116" i="1" s="1"/>
  <c r="E116" i="1"/>
  <c r="D116" i="1"/>
  <c r="C116" i="1"/>
  <c r="R115" i="1"/>
  <c r="Q115" i="1"/>
  <c r="P115" i="1"/>
  <c r="O115" i="1"/>
  <c r="M115" i="1"/>
  <c r="K115" i="1"/>
  <c r="L115" i="1" s="1"/>
  <c r="J115" i="1"/>
  <c r="G115" i="1"/>
  <c r="E115" i="1"/>
  <c r="C115" i="1"/>
  <c r="D115" i="1" s="1"/>
  <c r="R114" i="1"/>
  <c r="O114" i="1"/>
  <c r="Q114" i="1" s="1"/>
  <c r="M114" i="1"/>
  <c r="L114" i="1"/>
  <c r="K114" i="1"/>
  <c r="G114" i="1"/>
  <c r="E114" i="1"/>
  <c r="C114" i="1"/>
  <c r="C117" i="1" s="1"/>
  <c r="D117" i="1" s="1"/>
  <c r="S113" i="1"/>
  <c r="R113" i="1"/>
  <c r="Q113" i="1"/>
  <c r="P113" i="1"/>
  <c r="M113" i="1"/>
  <c r="L113" i="1"/>
  <c r="I113" i="1"/>
  <c r="H113" i="1"/>
  <c r="E113" i="1"/>
  <c r="D113" i="1"/>
  <c r="O112" i="1"/>
  <c r="N112" i="1"/>
  <c r="F112" i="1"/>
  <c r="B112" i="1"/>
  <c r="S111" i="1"/>
  <c r="R111" i="1"/>
  <c r="O111" i="1"/>
  <c r="Q111" i="1" s="1"/>
  <c r="M111" i="1"/>
  <c r="L111" i="1"/>
  <c r="K111" i="1"/>
  <c r="G111" i="1"/>
  <c r="E111" i="1"/>
  <c r="C111" i="1"/>
  <c r="D111" i="1" s="1"/>
  <c r="S110" i="1"/>
  <c r="O110" i="1"/>
  <c r="Q110" i="1" s="1"/>
  <c r="K110" i="1"/>
  <c r="J110" i="1"/>
  <c r="M110" i="1" s="1"/>
  <c r="H110" i="1"/>
  <c r="G110" i="1"/>
  <c r="I110" i="1" s="1"/>
  <c r="C110" i="1"/>
  <c r="E110" i="1" s="1"/>
  <c r="P109" i="1"/>
  <c r="O109" i="1"/>
  <c r="Q109" i="1" s="1"/>
  <c r="K109" i="1"/>
  <c r="M109" i="1" s="1"/>
  <c r="J109" i="1"/>
  <c r="L109" i="1" s="1"/>
  <c r="I109" i="1"/>
  <c r="H109" i="1"/>
  <c r="G109" i="1"/>
  <c r="C109" i="1"/>
  <c r="E109" i="1" s="1"/>
  <c r="Q108" i="1"/>
  <c r="O108" i="1"/>
  <c r="P108" i="1" s="1"/>
  <c r="K108" i="1"/>
  <c r="M108" i="1" s="1"/>
  <c r="J108" i="1"/>
  <c r="I108" i="1"/>
  <c r="G108" i="1"/>
  <c r="H108" i="1" s="1"/>
  <c r="C108" i="1"/>
  <c r="R107" i="1"/>
  <c r="Q107" i="1"/>
  <c r="P107" i="1"/>
  <c r="O107" i="1"/>
  <c r="K107" i="1"/>
  <c r="I107" i="1"/>
  <c r="G107" i="1"/>
  <c r="H107" i="1" s="1"/>
  <c r="C107" i="1"/>
  <c r="U106" i="1"/>
  <c r="S106" i="1"/>
  <c r="R106" i="1"/>
  <c r="T106" i="1" s="1"/>
  <c r="Q106" i="1"/>
  <c r="P106" i="1"/>
  <c r="M106" i="1"/>
  <c r="L106" i="1"/>
  <c r="I106" i="1"/>
  <c r="H106" i="1"/>
  <c r="E106" i="1"/>
  <c r="D106" i="1"/>
  <c r="N104" i="1"/>
  <c r="L104" i="1"/>
  <c r="J104" i="1"/>
  <c r="G104" i="1"/>
  <c r="I104" i="1" s="1"/>
  <c r="F104" i="1"/>
  <c r="H104" i="1" s="1"/>
  <c r="B104" i="1"/>
  <c r="R103" i="1"/>
  <c r="T103" i="1" s="1"/>
  <c r="P103" i="1"/>
  <c r="O103" i="1"/>
  <c r="O104" i="1" s="1"/>
  <c r="Q104" i="1" s="1"/>
  <c r="K103" i="1"/>
  <c r="K104" i="1" s="1"/>
  <c r="M104" i="1" s="1"/>
  <c r="I103" i="1"/>
  <c r="H103" i="1"/>
  <c r="G103" i="1"/>
  <c r="F103" i="1"/>
  <c r="D103" i="1"/>
  <c r="C103" i="1"/>
  <c r="S103" i="1" s="1"/>
  <c r="U103" i="1" s="1"/>
  <c r="S102" i="1"/>
  <c r="U102" i="1" s="1"/>
  <c r="R102" i="1"/>
  <c r="T102" i="1" s="1"/>
  <c r="Q102" i="1"/>
  <c r="P102" i="1"/>
  <c r="M102" i="1"/>
  <c r="L102" i="1"/>
  <c r="I102" i="1"/>
  <c r="H102" i="1"/>
  <c r="E102" i="1"/>
  <c r="D102" i="1"/>
  <c r="R101" i="1"/>
  <c r="T101" i="1" s="1"/>
  <c r="O101" i="1"/>
  <c r="S101" i="1" s="1"/>
  <c r="U101" i="1" s="1"/>
  <c r="L101" i="1"/>
  <c r="K101" i="1"/>
  <c r="M101" i="1" s="1"/>
  <c r="I101" i="1"/>
  <c r="G101" i="1"/>
  <c r="H101" i="1" s="1"/>
  <c r="E101" i="1"/>
  <c r="D101" i="1"/>
  <c r="C101" i="1"/>
  <c r="O100" i="1"/>
  <c r="Q100" i="1" s="1"/>
  <c r="L100" i="1"/>
  <c r="K100" i="1"/>
  <c r="J100" i="1"/>
  <c r="R100" i="1" s="1"/>
  <c r="G100" i="1"/>
  <c r="E100" i="1"/>
  <c r="D100" i="1"/>
  <c r="C100" i="1"/>
  <c r="T99" i="1"/>
  <c r="S99" i="1"/>
  <c r="U99" i="1" s="1"/>
  <c r="R99" i="1"/>
  <c r="Q99" i="1"/>
  <c r="P99" i="1"/>
  <c r="M99" i="1"/>
  <c r="L99" i="1"/>
  <c r="I99" i="1"/>
  <c r="H99" i="1"/>
  <c r="F99" i="1"/>
  <c r="E99" i="1"/>
  <c r="D99" i="1"/>
  <c r="N98" i="1"/>
  <c r="K98" i="1"/>
  <c r="M98" i="1" s="1"/>
  <c r="J98" i="1"/>
  <c r="L98" i="1" s="1"/>
  <c r="F98" i="1"/>
  <c r="B98" i="1"/>
  <c r="O97" i="1"/>
  <c r="M97" i="1"/>
  <c r="L97" i="1"/>
  <c r="K97" i="1"/>
  <c r="G97" i="1"/>
  <c r="F97" i="1"/>
  <c r="R97" i="1" s="1"/>
  <c r="C97" i="1"/>
  <c r="U96" i="1"/>
  <c r="S96" i="1"/>
  <c r="R96" i="1"/>
  <c r="T96" i="1" s="1"/>
  <c r="Q96" i="1"/>
  <c r="P96" i="1"/>
  <c r="M96" i="1"/>
  <c r="L96" i="1"/>
  <c r="I96" i="1"/>
  <c r="H96" i="1"/>
  <c r="E96" i="1"/>
  <c r="D96" i="1"/>
  <c r="Q95" i="1"/>
  <c r="P95" i="1"/>
  <c r="O95" i="1"/>
  <c r="K95" i="1"/>
  <c r="M95" i="1" s="1"/>
  <c r="J95" i="1"/>
  <c r="L95" i="1" s="1"/>
  <c r="I95" i="1"/>
  <c r="G95" i="1"/>
  <c r="S95" i="1" s="1"/>
  <c r="F95" i="1"/>
  <c r="E95" i="1"/>
  <c r="D95" i="1"/>
  <c r="C95" i="1"/>
  <c r="P94" i="1"/>
  <c r="O94" i="1"/>
  <c r="Q94" i="1" s="1"/>
  <c r="K94" i="1"/>
  <c r="L94" i="1" s="1"/>
  <c r="G94" i="1"/>
  <c r="F94" i="1"/>
  <c r="E94" i="1"/>
  <c r="C94" i="1"/>
  <c r="D94" i="1" s="1"/>
  <c r="U93" i="1"/>
  <c r="S93" i="1"/>
  <c r="Q93" i="1"/>
  <c r="P93" i="1"/>
  <c r="M93" i="1"/>
  <c r="L93" i="1"/>
  <c r="I93" i="1"/>
  <c r="H93" i="1"/>
  <c r="E93" i="1"/>
  <c r="D93" i="1"/>
  <c r="B93" i="1"/>
  <c r="R93" i="1" s="1"/>
  <c r="T93" i="1" s="1"/>
  <c r="N92" i="1"/>
  <c r="N105" i="1" s="1"/>
  <c r="L92" i="1"/>
  <c r="J92" i="1"/>
  <c r="G92" i="1"/>
  <c r="I92" i="1" s="1"/>
  <c r="F92" i="1"/>
  <c r="B92" i="1"/>
  <c r="R91" i="1"/>
  <c r="T91" i="1" s="1"/>
  <c r="P91" i="1"/>
  <c r="O91" i="1"/>
  <c r="O92" i="1" s="1"/>
  <c r="Q92" i="1" s="1"/>
  <c r="M91" i="1"/>
  <c r="K91" i="1"/>
  <c r="K92" i="1" s="1"/>
  <c r="M92" i="1" s="1"/>
  <c r="I91" i="1"/>
  <c r="H91" i="1"/>
  <c r="G91" i="1"/>
  <c r="C91" i="1"/>
  <c r="S91" i="1" s="1"/>
  <c r="U91" i="1" s="1"/>
  <c r="U90" i="1"/>
  <c r="S90" i="1"/>
  <c r="R90" i="1"/>
  <c r="T90" i="1" s="1"/>
  <c r="Q90" i="1"/>
  <c r="P90" i="1"/>
  <c r="M90" i="1"/>
  <c r="L90" i="1"/>
  <c r="I90" i="1"/>
  <c r="H90" i="1"/>
  <c r="E90" i="1"/>
  <c r="D90" i="1"/>
  <c r="R89" i="1"/>
  <c r="Q89" i="1"/>
  <c r="P89" i="1"/>
  <c r="O89" i="1"/>
  <c r="K89" i="1"/>
  <c r="I89" i="1"/>
  <c r="H89" i="1"/>
  <c r="G89" i="1"/>
  <c r="C89" i="1"/>
  <c r="B89" i="1"/>
  <c r="R88" i="1"/>
  <c r="O88" i="1"/>
  <c r="S88" i="1" s="1"/>
  <c r="U88" i="1" s="1"/>
  <c r="L88" i="1"/>
  <c r="K88" i="1"/>
  <c r="K105" i="1" s="1"/>
  <c r="I88" i="1"/>
  <c r="G88" i="1"/>
  <c r="E88" i="1"/>
  <c r="D88" i="1"/>
  <c r="C88" i="1"/>
  <c r="B88" i="1"/>
  <c r="T87" i="1"/>
  <c r="S87" i="1"/>
  <c r="U87" i="1" s="1"/>
  <c r="R87" i="1"/>
  <c r="Q87" i="1"/>
  <c r="P87" i="1"/>
  <c r="M87" i="1"/>
  <c r="L87" i="1"/>
  <c r="I87" i="1"/>
  <c r="H87" i="1"/>
  <c r="E87" i="1"/>
  <c r="D87" i="1"/>
  <c r="N86" i="1"/>
  <c r="F86" i="1"/>
  <c r="B86" i="1"/>
  <c r="R85" i="1"/>
  <c r="P85" i="1"/>
  <c r="O85" i="1"/>
  <c r="Q85" i="1" s="1"/>
  <c r="K85" i="1"/>
  <c r="L85" i="1" s="1"/>
  <c r="J85" i="1"/>
  <c r="G85" i="1"/>
  <c r="I85" i="1" s="1"/>
  <c r="F85" i="1"/>
  <c r="C85" i="1"/>
  <c r="R84" i="1"/>
  <c r="P84" i="1"/>
  <c r="O84" i="1"/>
  <c r="Q84" i="1" s="1"/>
  <c r="M84" i="1"/>
  <c r="K84" i="1"/>
  <c r="L84" i="1" s="1"/>
  <c r="I84" i="1"/>
  <c r="H84" i="1"/>
  <c r="G84" i="1"/>
  <c r="C84" i="1"/>
  <c r="S84" i="1" s="1"/>
  <c r="U84" i="1" s="1"/>
  <c r="R83" i="1"/>
  <c r="T83" i="1" s="1"/>
  <c r="P83" i="1"/>
  <c r="O83" i="1"/>
  <c r="Q83" i="1" s="1"/>
  <c r="M83" i="1"/>
  <c r="K83" i="1"/>
  <c r="L83" i="1" s="1"/>
  <c r="I83" i="1"/>
  <c r="H83" i="1"/>
  <c r="G83" i="1"/>
  <c r="C83" i="1"/>
  <c r="S83" i="1" s="1"/>
  <c r="R82" i="1"/>
  <c r="P82" i="1"/>
  <c r="O82" i="1"/>
  <c r="Q82" i="1" s="1"/>
  <c r="M82" i="1"/>
  <c r="K82" i="1"/>
  <c r="L82" i="1" s="1"/>
  <c r="I82" i="1"/>
  <c r="H82" i="1"/>
  <c r="G82" i="1"/>
  <c r="C82" i="1"/>
  <c r="S82" i="1" s="1"/>
  <c r="U82" i="1" s="1"/>
  <c r="R81" i="1"/>
  <c r="T81" i="1" s="1"/>
  <c r="P81" i="1"/>
  <c r="O81" i="1"/>
  <c r="Q81" i="1" s="1"/>
  <c r="M81" i="1"/>
  <c r="K81" i="1"/>
  <c r="L81" i="1" s="1"/>
  <c r="I81" i="1"/>
  <c r="H81" i="1"/>
  <c r="G81" i="1"/>
  <c r="C81" i="1"/>
  <c r="S81" i="1" s="1"/>
  <c r="R80" i="1"/>
  <c r="P80" i="1"/>
  <c r="O80" i="1"/>
  <c r="Q80" i="1" s="1"/>
  <c r="M80" i="1"/>
  <c r="K80" i="1"/>
  <c r="L80" i="1" s="1"/>
  <c r="I80" i="1"/>
  <c r="H80" i="1"/>
  <c r="G80" i="1"/>
  <c r="C80" i="1"/>
  <c r="R79" i="1"/>
  <c r="P79" i="1"/>
  <c r="O79" i="1"/>
  <c r="Q79" i="1" s="1"/>
  <c r="M79" i="1"/>
  <c r="K79" i="1"/>
  <c r="L79" i="1" s="1"/>
  <c r="I79" i="1"/>
  <c r="H79" i="1"/>
  <c r="G79" i="1"/>
  <c r="C79" i="1"/>
  <c r="P78" i="1"/>
  <c r="O78" i="1"/>
  <c r="Q78" i="1" s="1"/>
  <c r="M78" i="1"/>
  <c r="K78" i="1"/>
  <c r="J78" i="1"/>
  <c r="L78" i="1" s="1"/>
  <c r="I78" i="1"/>
  <c r="H78" i="1"/>
  <c r="G78" i="1"/>
  <c r="D78" i="1"/>
  <c r="C78" i="1"/>
  <c r="S78" i="1" s="1"/>
  <c r="R77" i="1"/>
  <c r="Q77" i="1"/>
  <c r="O77" i="1"/>
  <c r="P77" i="1" s="1"/>
  <c r="K77" i="1"/>
  <c r="I77" i="1"/>
  <c r="H77" i="1"/>
  <c r="G77" i="1"/>
  <c r="D77" i="1"/>
  <c r="C77" i="1"/>
  <c r="E77" i="1" s="1"/>
  <c r="S76" i="1"/>
  <c r="U76" i="1" s="1"/>
  <c r="R76" i="1"/>
  <c r="Q76" i="1"/>
  <c r="O76" i="1"/>
  <c r="P76" i="1" s="1"/>
  <c r="K76" i="1"/>
  <c r="I76" i="1"/>
  <c r="H76" i="1"/>
  <c r="G76" i="1"/>
  <c r="D76" i="1"/>
  <c r="C76" i="1"/>
  <c r="E76" i="1" s="1"/>
  <c r="R75" i="1"/>
  <c r="Q75" i="1"/>
  <c r="O75" i="1"/>
  <c r="K75" i="1"/>
  <c r="I75" i="1"/>
  <c r="H75" i="1"/>
  <c r="G75" i="1"/>
  <c r="D75" i="1"/>
  <c r="C75" i="1"/>
  <c r="S74" i="1"/>
  <c r="U74" i="1" s="1"/>
  <c r="R74" i="1"/>
  <c r="Q74" i="1"/>
  <c r="P74" i="1"/>
  <c r="M74" i="1"/>
  <c r="L74" i="1"/>
  <c r="I74" i="1"/>
  <c r="H74" i="1"/>
  <c r="E74" i="1"/>
  <c r="D74" i="1"/>
  <c r="O73" i="1"/>
  <c r="L73" i="1"/>
  <c r="K73" i="1"/>
  <c r="J73" i="1"/>
  <c r="G73" i="1"/>
  <c r="F73" i="1"/>
  <c r="E73" i="1"/>
  <c r="D73" i="1"/>
  <c r="C73" i="1"/>
  <c r="Q72" i="1"/>
  <c r="O72" i="1"/>
  <c r="L72" i="1"/>
  <c r="K72" i="1"/>
  <c r="J72" i="1"/>
  <c r="M72" i="1" s="1"/>
  <c r="I72" i="1"/>
  <c r="H72" i="1"/>
  <c r="G72" i="1"/>
  <c r="F72" i="1"/>
  <c r="D72" i="1"/>
  <c r="C72" i="1"/>
  <c r="E72" i="1" s="1"/>
  <c r="B72" i="1"/>
  <c r="R72" i="1" s="1"/>
  <c r="N71" i="1"/>
  <c r="R70" i="1"/>
  <c r="Q70" i="1"/>
  <c r="P70" i="1"/>
  <c r="O70" i="1"/>
  <c r="K70" i="1"/>
  <c r="I70" i="1"/>
  <c r="H70" i="1"/>
  <c r="G70" i="1"/>
  <c r="C70" i="1"/>
  <c r="R69" i="1"/>
  <c r="Q69" i="1"/>
  <c r="P69" i="1"/>
  <c r="O69" i="1"/>
  <c r="K69" i="1"/>
  <c r="I69" i="1"/>
  <c r="H69" i="1"/>
  <c r="G69" i="1"/>
  <c r="E69" i="1"/>
  <c r="C69" i="1"/>
  <c r="R68" i="1"/>
  <c r="Q68" i="1"/>
  <c r="P68" i="1"/>
  <c r="O68" i="1"/>
  <c r="K68" i="1"/>
  <c r="I68" i="1"/>
  <c r="H68" i="1"/>
  <c r="G68" i="1"/>
  <c r="C68" i="1"/>
  <c r="R67" i="1"/>
  <c r="Q67" i="1"/>
  <c r="P67" i="1"/>
  <c r="O67" i="1"/>
  <c r="K67" i="1"/>
  <c r="I67" i="1"/>
  <c r="H67" i="1"/>
  <c r="G67" i="1"/>
  <c r="E67" i="1"/>
  <c r="C67" i="1"/>
  <c r="R66" i="1"/>
  <c r="Q66" i="1"/>
  <c r="P66" i="1"/>
  <c r="O66" i="1"/>
  <c r="K66" i="1"/>
  <c r="I66" i="1"/>
  <c r="H66" i="1"/>
  <c r="G66" i="1"/>
  <c r="C66" i="1"/>
  <c r="R65" i="1"/>
  <c r="Q65" i="1"/>
  <c r="P65" i="1"/>
  <c r="O65" i="1"/>
  <c r="K65" i="1"/>
  <c r="I65" i="1"/>
  <c r="H65" i="1"/>
  <c r="G65" i="1"/>
  <c r="C65" i="1"/>
  <c r="E65" i="1" s="1"/>
  <c r="R64" i="1"/>
  <c r="Q64" i="1"/>
  <c r="P64" i="1"/>
  <c r="O64" i="1"/>
  <c r="K64" i="1"/>
  <c r="I64" i="1"/>
  <c r="H64" i="1"/>
  <c r="G64" i="1"/>
  <c r="E64" i="1"/>
  <c r="C64" i="1"/>
  <c r="R63" i="1"/>
  <c r="Q63" i="1"/>
  <c r="P63" i="1"/>
  <c r="O63" i="1"/>
  <c r="K63" i="1"/>
  <c r="M63" i="1" s="1"/>
  <c r="J63" i="1"/>
  <c r="L63" i="1" s="1"/>
  <c r="G63" i="1"/>
  <c r="H63" i="1" s="1"/>
  <c r="C63" i="1"/>
  <c r="B63" i="1"/>
  <c r="D63" i="1" s="1"/>
  <c r="T62" i="1"/>
  <c r="S62" i="1"/>
  <c r="U62" i="1" s="1"/>
  <c r="R62" i="1"/>
  <c r="Q62" i="1"/>
  <c r="O62" i="1"/>
  <c r="P62" i="1" s="1"/>
  <c r="K62" i="1"/>
  <c r="L62" i="1" s="1"/>
  <c r="J62" i="1"/>
  <c r="J71" i="1" s="1"/>
  <c r="I62" i="1"/>
  <c r="G62" i="1"/>
  <c r="H62" i="1" s="1"/>
  <c r="E62" i="1"/>
  <c r="D62" i="1"/>
  <c r="C62" i="1"/>
  <c r="B62" i="1"/>
  <c r="R61" i="1"/>
  <c r="P61" i="1"/>
  <c r="O61" i="1"/>
  <c r="Q61" i="1" s="1"/>
  <c r="K61" i="1"/>
  <c r="L61" i="1" s="1"/>
  <c r="G61" i="1"/>
  <c r="I61" i="1" s="1"/>
  <c r="C61" i="1"/>
  <c r="E61" i="1" s="1"/>
  <c r="R60" i="1"/>
  <c r="P60" i="1"/>
  <c r="O60" i="1"/>
  <c r="Q60" i="1" s="1"/>
  <c r="M60" i="1"/>
  <c r="K60" i="1"/>
  <c r="L60" i="1" s="1"/>
  <c r="H60" i="1"/>
  <c r="G60" i="1"/>
  <c r="I60" i="1" s="1"/>
  <c r="C60" i="1"/>
  <c r="P59" i="1"/>
  <c r="O59" i="1"/>
  <c r="Q59" i="1" s="1"/>
  <c r="M59" i="1"/>
  <c r="K59" i="1"/>
  <c r="L59" i="1" s="1"/>
  <c r="G59" i="1"/>
  <c r="F59" i="1"/>
  <c r="C59" i="1"/>
  <c r="Q58" i="1"/>
  <c r="O58" i="1"/>
  <c r="P58" i="1" s="1"/>
  <c r="N58" i="1"/>
  <c r="R58" i="1" s="1"/>
  <c r="K58" i="1"/>
  <c r="L58" i="1" s="1"/>
  <c r="I58" i="1"/>
  <c r="H58" i="1"/>
  <c r="G58" i="1"/>
  <c r="E58" i="1"/>
  <c r="C58" i="1"/>
  <c r="R57" i="1"/>
  <c r="Q57" i="1"/>
  <c r="P57" i="1"/>
  <c r="O57" i="1"/>
  <c r="K57" i="1"/>
  <c r="L57" i="1" s="1"/>
  <c r="I57" i="1"/>
  <c r="H57" i="1"/>
  <c r="G57" i="1"/>
  <c r="E57" i="1"/>
  <c r="C57" i="1"/>
  <c r="R56" i="1"/>
  <c r="T56" i="1" s="1"/>
  <c r="Q56" i="1"/>
  <c r="P56" i="1"/>
  <c r="O56" i="1"/>
  <c r="M56" i="1"/>
  <c r="K56" i="1"/>
  <c r="L56" i="1" s="1"/>
  <c r="I56" i="1"/>
  <c r="H56" i="1"/>
  <c r="G56" i="1"/>
  <c r="E56" i="1"/>
  <c r="D56" i="1"/>
  <c r="C56" i="1"/>
  <c r="S56" i="1" s="1"/>
  <c r="U55" i="1"/>
  <c r="R55" i="1"/>
  <c r="Q55" i="1"/>
  <c r="P55" i="1"/>
  <c r="O55" i="1"/>
  <c r="K55" i="1"/>
  <c r="L55" i="1" s="1"/>
  <c r="I55" i="1"/>
  <c r="H55" i="1"/>
  <c r="G55" i="1"/>
  <c r="C55" i="1"/>
  <c r="S55" i="1" s="1"/>
  <c r="R54" i="1"/>
  <c r="Q54" i="1"/>
  <c r="P54" i="1"/>
  <c r="O54" i="1"/>
  <c r="K54" i="1"/>
  <c r="L54" i="1" s="1"/>
  <c r="I54" i="1"/>
  <c r="G54" i="1"/>
  <c r="H54" i="1" s="1"/>
  <c r="E54" i="1"/>
  <c r="D54" i="1"/>
  <c r="C54" i="1"/>
  <c r="R53" i="1"/>
  <c r="Q53" i="1"/>
  <c r="P53" i="1"/>
  <c r="O53" i="1"/>
  <c r="K53" i="1"/>
  <c r="L53" i="1" s="1"/>
  <c r="G53" i="1"/>
  <c r="I53" i="1" s="1"/>
  <c r="E53" i="1"/>
  <c r="C53" i="1"/>
  <c r="R52" i="1"/>
  <c r="Q52" i="1"/>
  <c r="P52" i="1"/>
  <c r="O52" i="1"/>
  <c r="M52" i="1"/>
  <c r="K52" i="1"/>
  <c r="L52" i="1" s="1"/>
  <c r="G52" i="1"/>
  <c r="I52" i="1" s="1"/>
  <c r="C52" i="1"/>
  <c r="S52" i="1" s="1"/>
  <c r="U52" i="1" s="1"/>
  <c r="U51" i="1"/>
  <c r="R51" i="1"/>
  <c r="Q51" i="1"/>
  <c r="P51" i="1"/>
  <c r="O51" i="1"/>
  <c r="L51" i="1"/>
  <c r="K51" i="1"/>
  <c r="M51" i="1" s="1"/>
  <c r="I51" i="1"/>
  <c r="H51" i="1"/>
  <c r="G51" i="1"/>
  <c r="D51" i="1"/>
  <c r="C51" i="1"/>
  <c r="S51" i="1" s="1"/>
  <c r="R50" i="1"/>
  <c r="Q50" i="1"/>
  <c r="O50" i="1"/>
  <c r="P50" i="1" s="1"/>
  <c r="M50" i="1"/>
  <c r="L50" i="1"/>
  <c r="K50" i="1"/>
  <c r="G50" i="1"/>
  <c r="I50" i="1" s="1"/>
  <c r="C50" i="1"/>
  <c r="B50" i="1"/>
  <c r="E50" i="1" s="1"/>
  <c r="R49" i="1"/>
  <c r="Q49" i="1"/>
  <c r="O49" i="1"/>
  <c r="M49" i="1"/>
  <c r="L49" i="1"/>
  <c r="K49" i="1"/>
  <c r="G49" i="1"/>
  <c r="S49" i="1" s="1"/>
  <c r="U49" i="1" s="1"/>
  <c r="E49" i="1"/>
  <c r="D49" i="1"/>
  <c r="C49" i="1"/>
  <c r="U48" i="1"/>
  <c r="S48" i="1"/>
  <c r="R48" i="1"/>
  <c r="T48" i="1" s="1"/>
  <c r="Q48" i="1"/>
  <c r="P48" i="1"/>
  <c r="M48" i="1"/>
  <c r="L48" i="1"/>
  <c r="I48" i="1"/>
  <c r="H48" i="1"/>
  <c r="E48" i="1"/>
  <c r="D48" i="1"/>
  <c r="O47" i="1"/>
  <c r="P47" i="1" s="1"/>
  <c r="K47" i="1"/>
  <c r="S47" i="1" s="1"/>
  <c r="U47" i="1" s="1"/>
  <c r="J47" i="1"/>
  <c r="R47" i="1" s="1"/>
  <c r="H47" i="1"/>
  <c r="G47" i="1"/>
  <c r="I47" i="1" s="1"/>
  <c r="E47" i="1"/>
  <c r="C47" i="1"/>
  <c r="D47" i="1" s="1"/>
  <c r="O46" i="1"/>
  <c r="Q46" i="1" s="1"/>
  <c r="K46" i="1"/>
  <c r="S46" i="1" s="1"/>
  <c r="J46" i="1"/>
  <c r="L46" i="1" s="1"/>
  <c r="G46" i="1"/>
  <c r="I46" i="1" s="1"/>
  <c r="F46" i="1"/>
  <c r="H46" i="1" s="1"/>
  <c r="C46" i="1"/>
  <c r="E46" i="1" s="1"/>
  <c r="B46" i="1"/>
  <c r="D46" i="1" s="1"/>
  <c r="N45" i="1"/>
  <c r="N146" i="1" s="1"/>
  <c r="R44" i="1"/>
  <c r="Q44" i="1"/>
  <c r="O44" i="1"/>
  <c r="P44" i="1" s="1"/>
  <c r="M44" i="1"/>
  <c r="L44" i="1"/>
  <c r="K44" i="1"/>
  <c r="G44" i="1"/>
  <c r="I44" i="1" s="1"/>
  <c r="C44" i="1"/>
  <c r="B44" i="1"/>
  <c r="E44" i="1" s="1"/>
  <c r="S43" i="1"/>
  <c r="U43" i="1" s="1"/>
  <c r="R43" i="1"/>
  <c r="T43" i="1" s="1"/>
  <c r="P43" i="1"/>
  <c r="O43" i="1"/>
  <c r="Q43" i="1" s="1"/>
  <c r="M43" i="1"/>
  <c r="K43" i="1"/>
  <c r="L43" i="1" s="1"/>
  <c r="H43" i="1"/>
  <c r="G43" i="1"/>
  <c r="I43" i="1" s="1"/>
  <c r="C43" i="1"/>
  <c r="E43" i="1" s="1"/>
  <c r="S42" i="1"/>
  <c r="U42" i="1" s="1"/>
  <c r="R42" i="1"/>
  <c r="T42" i="1" s="1"/>
  <c r="P42" i="1"/>
  <c r="O42" i="1"/>
  <c r="Q42" i="1" s="1"/>
  <c r="M42" i="1"/>
  <c r="K42" i="1"/>
  <c r="L42" i="1" s="1"/>
  <c r="H42" i="1"/>
  <c r="G42" i="1"/>
  <c r="I42" i="1" s="1"/>
  <c r="C42" i="1"/>
  <c r="E42" i="1" s="1"/>
  <c r="S41" i="1"/>
  <c r="U41" i="1" s="1"/>
  <c r="R41" i="1"/>
  <c r="T41" i="1" s="1"/>
  <c r="P41" i="1"/>
  <c r="O41" i="1"/>
  <c r="Q41" i="1" s="1"/>
  <c r="M41" i="1"/>
  <c r="K41" i="1"/>
  <c r="L41" i="1" s="1"/>
  <c r="H41" i="1"/>
  <c r="G41" i="1"/>
  <c r="I41" i="1" s="1"/>
  <c r="C41" i="1"/>
  <c r="E41" i="1" s="1"/>
  <c r="B41" i="1"/>
  <c r="D41" i="1" s="1"/>
  <c r="S40" i="1"/>
  <c r="O40" i="1"/>
  <c r="Q40" i="1" s="1"/>
  <c r="K40" i="1"/>
  <c r="M40" i="1" s="1"/>
  <c r="J40" i="1"/>
  <c r="L40" i="1" s="1"/>
  <c r="G40" i="1"/>
  <c r="F40" i="1"/>
  <c r="F45" i="1" s="1"/>
  <c r="H45" i="1" s="1"/>
  <c r="C40" i="1"/>
  <c r="E40" i="1" s="1"/>
  <c r="B40" i="1"/>
  <c r="R40" i="1" s="1"/>
  <c r="T40" i="1" s="1"/>
  <c r="R39" i="1"/>
  <c r="P39" i="1"/>
  <c r="O39" i="1"/>
  <c r="Q39" i="1" s="1"/>
  <c r="M39" i="1"/>
  <c r="L39" i="1"/>
  <c r="K39" i="1"/>
  <c r="J39" i="1"/>
  <c r="J45" i="1" s="1"/>
  <c r="L45" i="1" s="1"/>
  <c r="I39" i="1"/>
  <c r="G39" i="1"/>
  <c r="S39" i="1" s="1"/>
  <c r="U39" i="1" s="1"/>
  <c r="E39" i="1"/>
  <c r="D39" i="1"/>
  <c r="C39" i="1"/>
  <c r="R38" i="1"/>
  <c r="O38" i="1"/>
  <c r="S38" i="1" s="1"/>
  <c r="M38" i="1"/>
  <c r="L38" i="1"/>
  <c r="K38" i="1"/>
  <c r="I38" i="1"/>
  <c r="G38" i="1"/>
  <c r="H38" i="1" s="1"/>
  <c r="E38" i="1"/>
  <c r="D38" i="1"/>
  <c r="C38" i="1"/>
  <c r="R37" i="1"/>
  <c r="O37" i="1"/>
  <c r="S37" i="1" s="1"/>
  <c r="M37" i="1"/>
  <c r="L37" i="1"/>
  <c r="K37" i="1"/>
  <c r="I37" i="1"/>
  <c r="G37" i="1"/>
  <c r="H37" i="1" s="1"/>
  <c r="E37" i="1"/>
  <c r="D37" i="1"/>
  <c r="C37" i="1"/>
  <c r="R36" i="1"/>
  <c r="O36" i="1"/>
  <c r="S36" i="1" s="1"/>
  <c r="M36" i="1"/>
  <c r="L36" i="1"/>
  <c r="K36" i="1"/>
  <c r="K45" i="1" s="1"/>
  <c r="I36" i="1"/>
  <c r="G36" i="1"/>
  <c r="G45" i="1" s="1"/>
  <c r="E36" i="1"/>
  <c r="D36" i="1"/>
  <c r="C36" i="1"/>
  <c r="C45" i="1" s="1"/>
  <c r="S35" i="1"/>
  <c r="U35" i="1" s="1"/>
  <c r="R35" i="1"/>
  <c r="T35" i="1" s="1"/>
  <c r="Q35" i="1"/>
  <c r="P35" i="1"/>
  <c r="M35" i="1"/>
  <c r="L35" i="1"/>
  <c r="I35" i="1"/>
  <c r="H35" i="1"/>
  <c r="E35" i="1"/>
  <c r="D35" i="1"/>
  <c r="S34" i="1"/>
  <c r="O34" i="1"/>
  <c r="K34" i="1"/>
  <c r="J34" i="1"/>
  <c r="G34" i="1"/>
  <c r="F34" i="1"/>
  <c r="C34" i="1"/>
  <c r="E34" i="1" s="1"/>
  <c r="B34" i="1"/>
  <c r="D34" i="1" s="1"/>
  <c r="U30" i="1"/>
  <c r="S30" i="1"/>
  <c r="R30" i="1"/>
  <c r="T30" i="1" s="1"/>
  <c r="Q30" i="1"/>
  <c r="P30" i="1"/>
  <c r="M30" i="1"/>
  <c r="L30" i="1"/>
  <c r="J30" i="1"/>
  <c r="I30" i="1"/>
  <c r="F30" i="1"/>
  <c r="H30" i="1" s="1"/>
  <c r="E30" i="1"/>
  <c r="D30" i="1"/>
  <c r="B30" i="1"/>
  <c r="U29" i="1"/>
  <c r="S29" i="1"/>
  <c r="Q29" i="1"/>
  <c r="P29" i="1"/>
  <c r="M29" i="1"/>
  <c r="L29" i="1"/>
  <c r="I29" i="1"/>
  <c r="H29" i="1"/>
  <c r="E29" i="1"/>
  <c r="B29" i="1"/>
  <c r="D29" i="1" s="1"/>
  <c r="R28" i="1"/>
  <c r="Q28" i="1"/>
  <c r="P28" i="1"/>
  <c r="O28" i="1"/>
  <c r="M28" i="1"/>
  <c r="K28" i="1"/>
  <c r="L28" i="1" s="1"/>
  <c r="I28" i="1"/>
  <c r="H28" i="1"/>
  <c r="G28" i="1"/>
  <c r="C28" i="1"/>
  <c r="E28" i="1" s="1"/>
  <c r="R27" i="1"/>
  <c r="Q27" i="1"/>
  <c r="P27" i="1"/>
  <c r="O27" i="1"/>
  <c r="M27" i="1"/>
  <c r="K27" i="1"/>
  <c r="L27" i="1" s="1"/>
  <c r="I27" i="1"/>
  <c r="H27" i="1"/>
  <c r="G27" i="1"/>
  <c r="C27" i="1"/>
  <c r="E27" i="1" s="1"/>
  <c r="S26" i="1"/>
  <c r="U26" i="1" s="1"/>
  <c r="Q26" i="1"/>
  <c r="P26" i="1"/>
  <c r="M26" i="1"/>
  <c r="L26" i="1"/>
  <c r="J26" i="1"/>
  <c r="I26" i="1"/>
  <c r="F26" i="1"/>
  <c r="H26" i="1" s="1"/>
  <c r="E26" i="1"/>
  <c r="D26" i="1"/>
  <c r="B26" i="1"/>
  <c r="Q25" i="1"/>
  <c r="P25" i="1"/>
  <c r="O25" i="1"/>
  <c r="L25" i="1"/>
  <c r="K25" i="1"/>
  <c r="M25" i="1" s="1"/>
  <c r="G25" i="1"/>
  <c r="S25" i="1" s="1"/>
  <c r="C25" i="1"/>
  <c r="E25" i="1" s="1"/>
  <c r="B25" i="1"/>
  <c r="D25" i="1" s="1"/>
  <c r="N24" i="1"/>
  <c r="K24" i="1"/>
  <c r="M24" i="1" s="1"/>
  <c r="J24" i="1"/>
  <c r="L24" i="1" s="1"/>
  <c r="R23" i="1"/>
  <c r="T23" i="1" s="1"/>
  <c r="O23" i="1"/>
  <c r="Q23" i="1" s="1"/>
  <c r="M23" i="1"/>
  <c r="K23" i="1"/>
  <c r="J23" i="1"/>
  <c r="L23" i="1" s="1"/>
  <c r="I23" i="1"/>
  <c r="G23" i="1"/>
  <c r="F23" i="1"/>
  <c r="H23" i="1" s="1"/>
  <c r="E23" i="1"/>
  <c r="D23" i="1"/>
  <c r="C23" i="1"/>
  <c r="S23" i="1" s="1"/>
  <c r="U23" i="1" s="1"/>
  <c r="Q22" i="1"/>
  <c r="P22" i="1"/>
  <c r="O22" i="1"/>
  <c r="K22" i="1"/>
  <c r="M22" i="1" s="1"/>
  <c r="J22" i="1"/>
  <c r="L22" i="1" s="1"/>
  <c r="G22" i="1"/>
  <c r="I22" i="1" s="1"/>
  <c r="F22" i="1"/>
  <c r="H22" i="1" s="1"/>
  <c r="C22" i="1"/>
  <c r="E22" i="1" s="1"/>
  <c r="S21" i="1"/>
  <c r="U21" i="1" s="1"/>
  <c r="R21" i="1"/>
  <c r="T21" i="1" s="1"/>
  <c r="O21" i="1"/>
  <c r="Q21" i="1" s="1"/>
  <c r="M21" i="1"/>
  <c r="K21" i="1"/>
  <c r="L21" i="1" s="1"/>
  <c r="H21" i="1"/>
  <c r="G21" i="1"/>
  <c r="I21" i="1" s="1"/>
  <c r="F21" i="1"/>
  <c r="D21" i="1"/>
  <c r="C21" i="1"/>
  <c r="E21" i="1" s="1"/>
  <c r="S20" i="1"/>
  <c r="U20" i="1" s="1"/>
  <c r="O20" i="1"/>
  <c r="Q20" i="1" s="1"/>
  <c r="K20" i="1"/>
  <c r="M20" i="1" s="1"/>
  <c r="I20" i="1"/>
  <c r="H20" i="1"/>
  <c r="G20" i="1"/>
  <c r="F20" i="1"/>
  <c r="R20" i="1" s="1"/>
  <c r="T20" i="1" s="1"/>
  <c r="E20" i="1"/>
  <c r="C20" i="1"/>
  <c r="D20" i="1" s="1"/>
  <c r="Q19" i="1"/>
  <c r="P19" i="1"/>
  <c r="O19" i="1"/>
  <c r="K19" i="1"/>
  <c r="M19" i="1" s="1"/>
  <c r="I19" i="1"/>
  <c r="H19" i="1"/>
  <c r="G19" i="1"/>
  <c r="C19" i="1"/>
  <c r="S19" i="1" s="1"/>
  <c r="U19" i="1" s="1"/>
  <c r="B19" i="1"/>
  <c r="R19" i="1" s="1"/>
  <c r="Q18" i="1"/>
  <c r="O18" i="1"/>
  <c r="P18" i="1" s="1"/>
  <c r="L18" i="1"/>
  <c r="K18" i="1"/>
  <c r="M18" i="1" s="1"/>
  <c r="G18" i="1"/>
  <c r="G24" i="1" s="1"/>
  <c r="C18" i="1"/>
  <c r="S18" i="1" s="1"/>
  <c r="B18" i="1"/>
  <c r="R18" i="1" s="1"/>
  <c r="T18" i="1" s="1"/>
  <c r="S17" i="1"/>
  <c r="U17" i="1" s="1"/>
  <c r="R17" i="1"/>
  <c r="T17" i="1" s="1"/>
  <c r="Q17" i="1"/>
  <c r="P17" i="1"/>
  <c r="M17" i="1"/>
  <c r="L17" i="1"/>
  <c r="I17" i="1"/>
  <c r="H17" i="1"/>
  <c r="E17" i="1"/>
  <c r="D17" i="1"/>
  <c r="F16" i="1"/>
  <c r="H16" i="1" s="1"/>
  <c r="B16" i="1"/>
  <c r="S15" i="1"/>
  <c r="U15" i="1" s="1"/>
  <c r="R15" i="1"/>
  <c r="T15" i="1" s="1"/>
  <c r="Q15" i="1"/>
  <c r="N15" i="1"/>
  <c r="P15" i="1" s="1"/>
  <c r="M15" i="1"/>
  <c r="L15" i="1"/>
  <c r="J15" i="1"/>
  <c r="I15" i="1"/>
  <c r="H15" i="1"/>
  <c r="E15" i="1"/>
  <c r="D15" i="1"/>
  <c r="R14" i="1"/>
  <c r="Q14" i="1"/>
  <c r="P14" i="1"/>
  <c r="O14" i="1"/>
  <c r="K14" i="1"/>
  <c r="M14" i="1" s="1"/>
  <c r="I14" i="1"/>
  <c r="G14" i="1"/>
  <c r="H14" i="1" s="1"/>
  <c r="E14" i="1"/>
  <c r="C14" i="1"/>
  <c r="S14" i="1" s="1"/>
  <c r="Q13" i="1"/>
  <c r="P13" i="1"/>
  <c r="O13" i="1"/>
  <c r="N13" i="1"/>
  <c r="L13" i="1"/>
  <c r="K13" i="1"/>
  <c r="M13" i="1" s="1"/>
  <c r="J13" i="1"/>
  <c r="R13" i="1" s="1"/>
  <c r="I13" i="1"/>
  <c r="H13" i="1"/>
  <c r="G13" i="1"/>
  <c r="C13" i="1"/>
  <c r="S13" i="1" s="1"/>
  <c r="U13" i="1" s="1"/>
  <c r="O12" i="1"/>
  <c r="Q12" i="1" s="1"/>
  <c r="N12" i="1"/>
  <c r="P12" i="1" s="1"/>
  <c r="M12" i="1"/>
  <c r="K12" i="1"/>
  <c r="J12" i="1"/>
  <c r="R12" i="1" s="1"/>
  <c r="T12" i="1" s="1"/>
  <c r="G12" i="1"/>
  <c r="S12" i="1" s="1"/>
  <c r="E12" i="1"/>
  <c r="C12" i="1"/>
  <c r="D12" i="1" s="1"/>
  <c r="R11" i="1"/>
  <c r="P11" i="1"/>
  <c r="O11" i="1"/>
  <c r="O16" i="1" s="1"/>
  <c r="N11" i="1"/>
  <c r="N16" i="1" s="1"/>
  <c r="M11" i="1"/>
  <c r="L11" i="1"/>
  <c r="K11" i="1"/>
  <c r="K16" i="1" s="1"/>
  <c r="J11" i="1"/>
  <c r="I11" i="1"/>
  <c r="H11" i="1"/>
  <c r="G11" i="1"/>
  <c r="G16" i="1" s="1"/>
  <c r="I16" i="1" s="1"/>
  <c r="C11" i="1"/>
  <c r="E11" i="1" s="1"/>
  <c r="S10" i="1"/>
  <c r="U10" i="1" s="1"/>
  <c r="R10" i="1"/>
  <c r="T10" i="1" s="1"/>
  <c r="Q10" i="1"/>
  <c r="P10" i="1"/>
  <c r="M10" i="1"/>
  <c r="L10" i="1"/>
  <c r="I10" i="1"/>
  <c r="H10" i="1"/>
  <c r="E10" i="1"/>
  <c r="D10" i="1"/>
  <c r="O9" i="1"/>
  <c r="Q9" i="1" s="1"/>
  <c r="N9" i="1"/>
  <c r="P9" i="1" s="1"/>
  <c r="M9" i="1"/>
  <c r="K9" i="1"/>
  <c r="S9" i="1" s="1"/>
  <c r="U9" i="1" s="1"/>
  <c r="I9" i="1"/>
  <c r="G9" i="1"/>
  <c r="F9" i="1"/>
  <c r="R9" i="1" s="1"/>
  <c r="E9" i="1"/>
  <c r="C9" i="1"/>
  <c r="D9" i="1" s="1"/>
  <c r="R8" i="1"/>
  <c r="O8" i="1"/>
  <c r="P8" i="1" s="1"/>
  <c r="K8" i="1"/>
  <c r="M8" i="1" s="1"/>
  <c r="J8" i="1"/>
  <c r="G8" i="1"/>
  <c r="G31" i="1" s="1"/>
  <c r="F8" i="1"/>
  <c r="C8" i="1"/>
  <c r="E8" i="1" s="1"/>
  <c r="B8" i="1"/>
  <c r="T19" i="1" l="1"/>
  <c r="U40" i="1"/>
  <c r="U37" i="1"/>
  <c r="T37" i="1"/>
  <c r="M16" i="1"/>
  <c r="K31" i="1"/>
  <c r="I45" i="1"/>
  <c r="T47" i="1"/>
  <c r="M45" i="1"/>
  <c r="U38" i="1"/>
  <c r="T38" i="1"/>
  <c r="T13" i="1"/>
  <c r="U12" i="1"/>
  <c r="Q16" i="1"/>
  <c r="T14" i="1"/>
  <c r="U14" i="1"/>
  <c r="B31" i="1"/>
  <c r="G32" i="1"/>
  <c r="T9" i="1"/>
  <c r="U18" i="1"/>
  <c r="U36" i="1"/>
  <c r="T36" i="1"/>
  <c r="P16" i="1"/>
  <c r="N31" i="1"/>
  <c r="T39" i="1"/>
  <c r="U113" i="1"/>
  <c r="T113" i="1"/>
  <c r="U142" i="1"/>
  <c r="T142" i="1"/>
  <c r="D13" i="1"/>
  <c r="T49" i="1"/>
  <c r="Q73" i="1"/>
  <c r="P73" i="1"/>
  <c r="I8" i="1"/>
  <c r="H12" i="1"/>
  <c r="E13" i="1"/>
  <c r="D18" i="1"/>
  <c r="R22" i="1"/>
  <c r="P23" i="1"/>
  <c r="I25" i="1"/>
  <c r="D40" i="1"/>
  <c r="S44" i="1"/>
  <c r="U44" i="1" s="1"/>
  <c r="O45" i="1"/>
  <c r="Q45" i="1" s="1"/>
  <c r="L47" i="1"/>
  <c r="D52" i="1"/>
  <c r="H53" i="1"/>
  <c r="M54" i="1"/>
  <c r="S57" i="1"/>
  <c r="U57" i="1" s="1"/>
  <c r="D68" i="1"/>
  <c r="S68" i="1"/>
  <c r="M69" i="1"/>
  <c r="L69" i="1"/>
  <c r="S73" i="1"/>
  <c r="K86" i="1"/>
  <c r="M86" i="1" s="1"/>
  <c r="M75" i="1"/>
  <c r="L75" i="1"/>
  <c r="M85" i="1"/>
  <c r="S97" i="1"/>
  <c r="U97" i="1" s="1"/>
  <c r="T100" i="1"/>
  <c r="H117" i="1"/>
  <c r="H126" i="1"/>
  <c r="U144" i="1"/>
  <c r="S100" i="1"/>
  <c r="U100" i="1" s="1"/>
  <c r="I100" i="1"/>
  <c r="H100" i="1"/>
  <c r="R112" i="1"/>
  <c r="E117" i="1"/>
  <c r="H9" i="1"/>
  <c r="I12" i="1"/>
  <c r="D14" i="1"/>
  <c r="E18" i="1"/>
  <c r="D19" i="1"/>
  <c r="S22" i="1"/>
  <c r="U22" i="1" s="1"/>
  <c r="H36" i="1"/>
  <c r="H39" i="1"/>
  <c r="P45" i="1"/>
  <c r="M46" i="1"/>
  <c r="M47" i="1"/>
  <c r="E52" i="1"/>
  <c r="T55" i="1"/>
  <c r="D57" i="1"/>
  <c r="H61" i="1"/>
  <c r="M62" i="1"/>
  <c r="E68" i="1"/>
  <c r="B71" i="1"/>
  <c r="O86" i="1"/>
  <c r="P75" i="1"/>
  <c r="T88" i="1"/>
  <c r="R92" i="1"/>
  <c r="T97" i="1"/>
  <c r="M100" i="1"/>
  <c r="R104" i="1"/>
  <c r="J112" i="1"/>
  <c r="L108" i="1"/>
  <c r="R108" i="1"/>
  <c r="G117" i="1"/>
  <c r="I117" i="1" s="1"/>
  <c r="I114" i="1"/>
  <c r="H114" i="1"/>
  <c r="U137" i="1"/>
  <c r="T137" i="1"/>
  <c r="H25" i="1"/>
  <c r="I141" i="1"/>
  <c r="H141" i="1"/>
  <c r="F146" i="1"/>
  <c r="F105" i="1"/>
  <c r="H92" i="1"/>
  <c r="G98" i="1"/>
  <c r="I98" i="1" s="1"/>
  <c r="I97" i="1"/>
  <c r="I136" i="1"/>
  <c r="H136" i="1"/>
  <c r="H18" i="1"/>
  <c r="D22" i="1"/>
  <c r="O24" i="1"/>
  <c r="Q24" i="1" s="1"/>
  <c r="R29" i="1"/>
  <c r="T29" i="1" s="1"/>
  <c r="D42" i="1"/>
  <c r="D43" i="1"/>
  <c r="B45" i="1"/>
  <c r="P46" i="1"/>
  <c r="Q47" i="1"/>
  <c r="C71" i="1"/>
  <c r="S50" i="1"/>
  <c r="U50" i="1" s="1"/>
  <c r="E51" i="1"/>
  <c r="H52" i="1"/>
  <c r="M53" i="1"/>
  <c r="M58" i="1"/>
  <c r="D60" i="1"/>
  <c r="S60" i="1"/>
  <c r="M61" i="1"/>
  <c r="R78" i="1"/>
  <c r="T78" i="1" s="1"/>
  <c r="E89" i="1"/>
  <c r="S89" i="1"/>
  <c r="U89" i="1" s="1"/>
  <c r="H97" i="1"/>
  <c r="Q112" i="1"/>
  <c r="P112" i="1"/>
  <c r="Q124" i="1"/>
  <c r="P124" i="1"/>
  <c r="S130" i="1"/>
  <c r="U130" i="1" s="1"/>
  <c r="Q130" i="1"/>
  <c r="P130" i="1"/>
  <c r="U139" i="1"/>
  <c r="T139" i="1"/>
  <c r="L8" i="1"/>
  <c r="L9" i="1"/>
  <c r="L12" i="1"/>
  <c r="I18" i="1"/>
  <c r="H34" i="1"/>
  <c r="H40" i="1"/>
  <c r="D44" i="1"/>
  <c r="R46" i="1"/>
  <c r="T46" i="1" s="1"/>
  <c r="D50" i="1"/>
  <c r="E60" i="1"/>
  <c r="D64" i="1"/>
  <c r="S64" i="1"/>
  <c r="M65" i="1"/>
  <c r="L65" i="1"/>
  <c r="S72" i="1"/>
  <c r="U72" i="1" s="1"/>
  <c r="P72" i="1"/>
  <c r="S75" i="1"/>
  <c r="U75" i="1" s="1"/>
  <c r="M77" i="1"/>
  <c r="L77" i="1"/>
  <c r="S79" i="1"/>
  <c r="U79" i="1" s="1"/>
  <c r="E79" i="1"/>
  <c r="D79" i="1"/>
  <c r="D89" i="1"/>
  <c r="J105" i="1"/>
  <c r="L105" i="1" s="1"/>
  <c r="R94" i="1"/>
  <c r="T94" i="1" s="1"/>
  <c r="H94" i="1"/>
  <c r="E126" i="1"/>
  <c r="U132" i="1"/>
  <c r="I138" i="1"/>
  <c r="H138" i="1"/>
  <c r="I34" i="1"/>
  <c r="I40" i="1"/>
  <c r="D67" i="1"/>
  <c r="S67" i="1"/>
  <c r="U67" i="1" s="1"/>
  <c r="M68" i="1"/>
  <c r="L68" i="1"/>
  <c r="S94" i="1"/>
  <c r="I94" i="1"/>
  <c r="T127" i="1"/>
  <c r="S141" i="1"/>
  <c r="D65" i="1"/>
  <c r="S65" i="1"/>
  <c r="U65" i="1" s="1"/>
  <c r="J16" i="1"/>
  <c r="B24" i="1"/>
  <c r="R26" i="1"/>
  <c r="T26" i="1" s="1"/>
  <c r="J146" i="1"/>
  <c r="G71" i="1"/>
  <c r="I71" i="1" s="1"/>
  <c r="D70" i="1"/>
  <c r="S70" i="1"/>
  <c r="U81" i="1"/>
  <c r="P104" i="1"/>
  <c r="C112" i="1"/>
  <c r="E107" i="1"/>
  <c r="D107" i="1"/>
  <c r="S107" i="1"/>
  <c r="U107" i="1" s="1"/>
  <c r="S131" i="1"/>
  <c r="I131" i="1"/>
  <c r="H131" i="1"/>
  <c r="E133" i="1"/>
  <c r="D133" i="1"/>
  <c r="S133" i="1"/>
  <c r="U133" i="1" s="1"/>
  <c r="I140" i="1"/>
  <c r="H140" i="1"/>
  <c r="R143" i="1"/>
  <c r="T143" i="1" s="1"/>
  <c r="H8" i="1"/>
  <c r="U56" i="1"/>
  <c r="Q8" i="1"/>
  <c r="Q11" i="1"/>
  <c r="L14" i="1"/>
  <c r="L19" i="1"/>
  <c r="C24" i="1"/>
  <c r="R25" i="1"/>
  <c r="T25" i="1" s="1"/>
  <c r="S27" i="1"/>
  <c r="U27" i="1" s="1"/>
  <c r="S28" i="1"/>
  <c r="U28" i="1" s="1"/>
  <c r="C31" i="1"/>
  <c r="K146" i="1"/>
  <c r="M146" i="1" s="1"/>
  <c r="P36" i="1"/>
  <c r="P37" i="1"/>
  <c r="P38" i="1"/>
  <c r="H44" i="1"/>
  <c r="H49" i="1"/>
  <c r="H50" i="1"/>
  <c r="D55" i="1"/>
  <c r="M57" i="1"/>
  <c r="E70" i="1"/>
  <c r="T77" i="1"/>
  <c r="T82" i="1"/>
  <c r="M94" i="1"/>
  <c r="O98" i="1"/>
  <c r="Q97" i="1"/>
  <c r="P97" i="1"/>
  <c r="B105" i="1"/>
  <c r="S114" i="1"/>
  <c r="S127" i="1"/>
  <c r="U127" i="1" s="1"/>
  <c r="I127" i="1"/>
  <c r="H127" i="1"/>
  <c r="U143" i="1"/>
  <c r="L20" i="1"/>
  <c r="L34" i="1"/>
  <c r="Q36" i="1"/>
  <c r="Q37" i="1"/>
  <c r="Q38" i="1"/>
  <c r="I49" i="1"/>
  <c r="E55" i="1"/>
  <c r="E59" i="1"/>
  <c r="S59" i="1"/>
  <c r="U59" i="1" s="1"/>
  <c r="E63" i="1"/>
  <c r="S63" i="1"/>
  <c r="S77" i="1"/>
  <c r="U77" i="1" s="1"/>
  <c r="U83" i="1"/>
  <c r="M89" i="1"/>
  <c r="L89" i="1"/>
  <c r="R98" i="1"/>
  <c r="G112" i="1"/>
  <c r="I112" i="1" s="1"/>
  <c r="I111" i="1"/>
  <c r="H111" i="1"/>
  <c r="S136" i="1"/>
  <c r="I142" i="1"/>
  <c r="H142" i="1"/>
  <c r="E19" i="1"/>
  <c r="S8" i="1"/>
  <c r="U8" i="1" s="1"/>
  <c r="S11" i="1"/>
  <c r="M34" i="1"/>
  <c r="K71" i="1"/>
  <c r="M71" i="1" s="1"/>
  <c r="S54" i="1"/>
  <c r="U54" i="1" s="1"/>
  <c r="D59" i="1"/>
  <c r="M64" i="1"/>
  <c r="L64" i="1"/>
  <c r="T74" i="1"/>
  <c r="U78" i="1"/>
  <c r="T84" i="1"/>
  <c r="J86" i="1"/>
  <c r="L86" i="1" s="1"/>
  <c r="K112" i="1"/>
  <c r="M112" i="1" s="1"/>
  <c r="M107" i="1"/>
  <c r="L107" i="1"/>
  <c r="S121" i="1"/>
  <c r="U121" i="1" s="1"/>
  <c r="O126" i="1"/>
  <c r="Q127" i="1"/>
  <c r="P127" i="1"/>
  <c r="Q131" i="1"/>
  <c r="P131" i="1"/>
  <c r="D61" i="1"/>
  <c r="S61" i="1"/>
  <c r="Q128" i="1"/>
  <c r="P128" i="1"/>
  <c r="T50" i="1"/>
  <c r="F24" i="1"/>
  <c r="H24" i="1" s="1"/>
  <c r="T52" i="1"/>
  <c r="F71" i="1"/>
  <c r="R59" i="1"/>
  <c r="D66" i="1"/>
  <c r="S66" i="1"/>
  <c r="U66" i="1" s="1"/>
  <c r="M67" i="1"/>
  <c r="L67" i="1"/>
  <c r="R73" i="1"/>
  <c r="T73" i="1" s="1"/>
  <c r="H73" i="1"/>
  <c r="M76" i="1"/>
  <c r="L76" i="1"/>
  <c r="S85" i="1"/>
  <c r="H98" i="1"/>
  <c r="I115" i="1"/>
  <c r="H115" i="1"/>
  <c r="S115" i="1"/>
  <c r="U115" i="1" s="1"/>
  <c r="T130" i="1"/>
  <c r="I135" i="1"/>
  <c r="H135" i="1"/>
  <c r="U138" i="1"/>
  <c r="T138" i="1"/>
  <c r="M105" i="1"/>
  <c r="E108" i="1"/>
  <c r="D108" i="1"/>
  <c r="S108" i="1"/>
  <c r="U108" i="1" s="1"/>
  <c r="D8" i="1"/>
  <c r="D11" i="1"/>
  <c r="P20" i="1"/>
  <c r="D27" i="1"/>
  <c r="D28" i="1"/>
  <c r="P34" i="1"/>
  <c r="P40" i="1"/>
  <c r="T57" i="1"/>
  <c r="I59" i="1"/>
  <c r="I63" i="1"/>
  <c r="E66" i="1"/>
  <c r="D69" i="1"/>
  <c r="S69" i="1"/>
  <c r="M70" i="1"/>
  <c r="L70" i="1"/>
  <c r="I73" i="1"/>
  <c r="C86" i="1"/>
  <c r="H121" i="1"/>
  <c r="I137" i="1"/>
  <c r="H137" i="1"/>
  <c r="C16" i="1"/>
  <c r="M66" i="1"/>
  <c r="L66" i="1"/>
  <c r="P21" i="1"/>
  <c r="Q34" i="1"/>
  <c r="O71" i="1"/>
  <c r="S53" i="1"/>
  <c r="U53" i="1" s="1"/>
  <c r="S58" i="1"/>
  <c r="U58" i="1" s="1"/>
  <c r="H59" i="1"/>
  <c r="G105" i="1"/>
  <c r="I105" i="1" s="1"/>
  <c r="S128" i="1"/>
  <c r="I128" i="1"/>
  <c r="H128" i="1"/>
  <c r="S140" i="1"/>
  <c r="U111" i="1"/>
  <c r="T111" i="1"/>
  <c r="U135" i="1"/>
  <c r="R34" i="1"/>
  <c r="T34" i="1" s="1"/>
  <c r="P49" i="1"/>
  <c r="T51" i="1"/>
  <c r="D53" i="1"/>
  <c r="M55" i="1"/>
  <c r="D58" i="1"/>
  <c r="M73" i="1"/>
  <c r="G86" i="1"/>
  <c r="T76" i="1"/>
  <c r="S80" i="1"/>
  <c r="U80" i="1" s="1"/>
  <c r="E80" i="1"/>
  <c r="D80" i="1"/>
  <c r="H85" i="1"/>
  <c r="R95" i="1"/>
  <c r="T95" i="1" s="1"/>
  <c r="H95" i="1"/>
  <c r="T107" i="1"/>
  <c r="U116" i="1"/>
  <c r="E124" i="1"/>
  <c r="D124" i="1"/>
  <c r="S124" i="1"/>
  <c r="U124" i="1" s="1"/>
  <c r="I139" i="1"/>
  <c r="H139" i="1"/>
  <c r="E75" i="1"/>
  <c r="E78" i="1"/>
  <c r="D81" i="1"/>
  <c r="D82" i="1"/>
  <c r="D83" i="1"/>
  <c r="D84" i="1"/>
  <c r="D85" i="1"/>
  <c r="D91" i="1"/>
  <c r="C92" i="1"/>
  <c r="C105" i="1" s="1"/>
  <c r="D97" i="1"/>
  <c r="E103" i="1"/>
  <c r="C104" i="1"/>
  <c r="O105" i="1"/>
  <c r="Q105" i="1" s="1"/>
  <c r="P110" i="1"/>
  <c r="P111" i="1"/>
  <c r="P114" i="1"/>
  <c r="K117" i="1"/>
  <c r="M117" i="1" s="1"/>
  <c r="M120" i="1"/>
  <c r="G126" i="1"/>
  <c r="I126" i="1" s="1"/>
  <c r="P135" i="1"/>
  <c r="P136" i="1"/>
  <c r="P137" i="1"/>
  <c r="P138" i="1"/>
  <c r="P139" i="1"/>
  <c r="P140" i="1"/>
  <c r="P141" i="1"/>
  <c r="P142" i="1"/>
  <c r="E81" i="1"/>
  <c r="E82" i="1"/>
  <c r="E83" i="1"/>
  <c r="E84" i="1"/>
  <c r="E85" i="1"/>
  <c r="E91" i="1"/>
  <c r="E97" i="1"/>
  <c r="C98" i="1"/>
  <c r="R109" i="1"/>
  <c r="L124" i="1"/>
  <c r="D127" i="1"/>
  <c r="P143" i="1"/>
  <c r="P144" i="1"/>
  <c r="S109" i="1"/>
  <c r="U109" i="1" s="1"/>
  <c r="R110" i="1"/>
  <c r="T110" i="1" s="1"/>
  <c r="M124" i="1"/>
  <c r="E127" i="1"/>
  <c r="S134" i="1"/>
  <c r="R135" i="1"/>
  <c r="T135" i="1" s="1"/>
  <c r="D109" i="1"/>
  <c r="P118" i="1"/>
  <c r="S120" i="1"/>
  <c r="U120" i="1" s="1"/>
  <c r="P125" i="1"/>
  <c r="D134" i="1"/>
  <c r="H88" i="1"/>
  <c r="L91" i="1"/>
  <c r="L103" i="1"/>
  <c r="D110" i="1"/>
  <c r="S123" i="1"/>
  <c r="U123" i="1" s="1"/>
  <c r="H132" i="1"/>
  <c r="M103" i="1"/>
  <c r="D114" i="1"/>
  <c r="L127" i="1"/>
  <c r="L128" i="1"/>
  <c r="S118" i="1"/>
  <c r="R121" i="1"/>
  <c r="S125" i="1"/>
  <c r="M88" i="1"/>
  <c r="Q91" i="1"/>
  <c r="Q103" i="1"/>
  <c r="E123" i="1"/>
  <c r="R126" i="1"/>
  <c r="P88" i="1"/>
  <c r="P100" i="1"/>
  <c r="P101" i="1"/>
  <c r="D118" i="1"/>
  <c r="H120" i="1"/>
  <c r="H123" i="1"/>
  <c r="P132" i="1"/>
  <c r="Q88" i="1"/>
  <c r="P92" i="1"/>
  <c r="Q101" i="1"/>
  <c r="L110" i="1"/>
  <c r="I120" i="1"/>
  <c r="Q132" i="1"/>
  <c r="E105" i="1" l="1"/>
  <c r="S105" i="1"/>
  <c r="C146" i="1"/>
  <c r="D45" i="1"/>
  <c r="R45" i="1"/>
  <c r="Q71" i="1"/>
  <c r="P71" i="1"/>
  <c r="C32" i="1"/>
  <c r="E31" i="1"/>
  <c r="S31" i="1"/>
  <c r="T59" i="1"/>
  <c r="Q98" i="1"/>
  <c r="P98" i="1"/>
  <c r="G146" i="1"/>
  <c r="I146" i="1" s="1"/>
  <c r="U63" i="1"/>
  <c r="T63" i="1"/>
  <c r="H71" i="1"/>
  <c r="D24" i="1"/>
  <c r="R24" i="1"/>
  <c r="T75" i="1"/>
  <c r="O31" i="1"/>
  <c r="T44" i="1"/>
  <c r="J31" i="1"/>
  <c r="L16" i="1"/>
  <c r="R16" i="1"/>
  <c r="T66" i="1"/>
  <c r="T28" i="1"/>
  <c r="U136" i="1"/>
  <c r="T136" i="1"/>
  <c r="E24" i="1"/>
  <c r="S24" i="1"/>
  <c r="U24" i="1" s="1"/>
  <c r="U60" i="1"/>
  <c r="T60" i="1"/>
  <c r="T124" i="1"/>
  <c r="P86" i="1"/>
  <c r="Q86" i="1"/>
  <c r="U25" i="1"/>
  <c r="E104" i="1"/>
  <c r="S104" i="1"/>
  <c r="U104" i="1" s="1"/>
  <c r="U131" i="1"/>
  <c r="T131" i="1"/>
  <c r="L117" i="1"/>
  <c r="R71" i="1"/>
  <c r="T71" i="1" s="1"/>
  <c r="D71" i="1"/>
  <c r="T22" i="1"/>
  <c r="I24" i="1"/>
  <c r="T8" i="1"/>
  <c r="P24" i="1"/>
  <c r="Q126" i="1"/>
  <c r="P126" i="1"/>
  <c r="T109" i="1"/>
  <c r="U141" i="1"/>
  <c r="T141" i="1"/>
  <c r="S126" i="1"/>
  <c r="U126" i="1" s="1"/>
  <c r="T115" i="1"/>
  <c r="U73" i="1"/>
  <c r="N32" i="1"/>
  <c r="P31" i="1"/>
  <c r="U11" i="1"/>
  <c r="T11" i="1"/>
  <c r="O146" i="1"/>
  <c r="D98" i="1"/>
  <c r="S98" i="1"/>
  <c r="U98" i="1" s="1"/>
  <c r="E98" i="1"/>
  <c r="T85" i="1"/>
  <c r="U85" i="1"/>
  <c r="T133" i="1"/>
  <c r="U64" i="1"/>
  <c r="T64" i="1"/>
  <c r="S117" i="1"/>
  <c r="F31" i="1"/>
  <c r="T65" i="1"/>
  <c r="L146" i="1"/>
  <c r="U140" i="1"/>
  <c r="T140" i="1"/>
  <c r="U128" i="1"/>
  <c r="T128" i="1"/>
  <c r="T53" i="1"/>
  <c r="S45" i="1"/>
  <c r="U45" i="1" s="1"/>
  <c r="D105" i="1"/>
  <c r="R105" i="1"/>
  <c r="T105" i="1" s="1"/>
  <c r="I86" i="1"/>
  <c r="H86" i="1"/>
  <c r="T123" i="1"/>
  <c r="S86" i="1"/>
  <c r="U86" i="1" s="1"/>
  <c r="E86" i="1"/>
  <c r="D86" i="1"/>
  <c r="U61" i="1"/>
  <c r="T61" i="1"/>
  <c r="T98" i="1"/>
  <c r="D112" i="1"/>
  <c r="S112" i="1"/>
  <c r="U112" i="1" s="1"/>
  <c r="E112" i="1"/>
  <c r="U110" i="1"/>
  <c r="T120" i="1"/>
  <c r="U68" i="1"/>
  <c r="T68" i="1"/>
  <c r="E45" i="1"/>
  <c r="U125" i="1"/>
  <c r="T125" i="1"/>
  <c r="T121" i="1"/>
  <c r="T89" i="1"/>
  <c r="T58" i="1"/>
  <c r="H112" i="1"/>
  <c r="L71" i="1"/>
  <c r="E92" i="1"/>
  <c r="S92" i="1"/>
  <c r="U92" i="1" s="1"/>
  <c r="D104" i="1"/>
  <c r="D92" i="1"/>
  <c r="U95" i="1"/>
  <c r="P105" i="1"/>
  <c r="U94" i="1"/>
  <c r="T54" i="1"/>
  <c r="E71" i="1"/>
  <c r="S71" i="1"/>
  <c r="T108" i="1"/>
  <c r="U34" i="1"/>
  <c r="E16" i="1"/>
  <c r="S16" i="1"/>
  <c r="U16" i="1" s="1"/>
  <c r="U118" i="1"/>
  <c r="T118" i="1"/>
  <c r="U134" i="1"/>
  <c r="T134" i="1"/>
  <c r="T79" i="1"/>
  <c r="T72" i="1"/>
  <c r="B146" i="1"/>
  <c r="T80" i="1"/>
  <c r="R86" i="1"/>
  <c r="T27" i="1"/>
  <c r="U46" i="1"/>
  <c r="B32" i="1"/>
  <c r="D31" i="1"/>
  <c r="R31" i="1"/>
  <c r="T31" i="1" s="1"/>
  <c r="K32" i="1"/>
  <c r="M31" i="1"/>
  <c r="U69" i="1"/>
  <c r="T69" i="1"/>
  <c r="U114" i="1"/>
  <c r="T114" i="1"/>
  <c r="U70" i="1"/>
  <c r="T70" i="1"/>
  <c r="H105" i="1"/>
  <c r="L112" i="1"/>
  <c r="T67" i="1"/>
  <c r="D16" i="1"/>
  <c r="T92" i="1" l="1"/>
  <c r="K147" i="1"/>
  <c r="H146" i="1"/>
  <c r="Q146" i="1"/>
  <c r="P146" i="1"/>
  <c r="T16" i="1"/>
  <c r="U31" i="1"/>
  <c r="U71" i="1"/>
  <c r="J32" i="1"/>
  <c r="L31" i="1"/>
  <c r="C147" i="1"/>
  <c r="E32" i="1"/>
  <c r="O32" i="1"/>
  <c r="Q31" i="1"/>
  <c r="T126" i="1"/>
  <c r="T45" i="1"/>
  <c r="F32" i="1"/>
  <c r="H31" i="1"/>
  <c r="I31" i="1"/>
  <c r="G147" i="1"/>
  <c r="T86" i="1"/>
  <c r="T112" i="1"/>
  <c r="T24" i="1"/>
  <c r="U117" i="1"/>
  <c r="T117" i="1"/>
  <c r="D146" i="1"/>
  <c r="R146" i="1"/>
  <c r="E146" i="1"/>
  <c r="S146" i="1"/>
  <c r="U146" i="1" s="1"/>
  <c r="N147" i="1"/>
  <c r="T104" i="1"/>
  <c r="U105" i="1"/>
  <c r="B147" i="1"/>
  <c r="D32" i="1"/>
  <c r="O147" i="1" l="1"/>
  <c r="Q32" i="1"/>
  <c r="C148" i="1"/>
  <c r="E147" i="1"/>
  <c r="S147" i="1"/>
  <c r="N148" i="1"/>
  <c r="P147" i="1"/>
  <c r="S32" i="1"/>
  <c r="U32" i="1" s="1"/>
  <c r="F147" i="1"/>
  <c r="H32" i="1"/>
  <c r="I32" i="1"/>
  <c r="I147" i="1"/>
  <c r="G148" i="1"/>
  <c r="B148" i="1"/>
  <c r="D147" i="1"/>
  <c r="R147" i="1"/>
  <c r="T147" i="1" s="1"/>
  <c r="K148" i="1"/>
  <c r="T146" i="1"/>
  <c r="J147" i="1"/>
  <c r="L32" i="1"/>
  <c r="R32" i="1"/>
  <c r="M32" i="1"/>
  <c r="P32" i="1"/>
  <c r="D148" i="1" l="1"/>
  <c r="T32" i="1"/>
  <c r="J148" i="1"/>
  <c r="L148" i="1" s="1"/>
  <c r="L147" i="1"/>
  <c r="M147" i="1"/>
  <c r="H147" i="1"/>
  <c r="F148" i="1"/>
  <c r="H148" i="1" s="1"/>
  <c r="U147" i="1"/>
  <c r="E148" i="1"/>
  <c r="M148" i="1"/>
  <c r="O148" i="1"/>
  <c r="Q148" i="1" s="1"/>
  <c r="Q147" i="1"/>
  <c r="S148" i="1" l="1"/>
  <c r="R148" i="1"/>
  <c r="T148" i="1" s="1"/>
  <c r="I148" i="1"/>
  <c r="P148" i="1"/>
  <c r="U148" i="1" l="1"/>
</calcChain>
</file>

<file path=xl/sharedStrings.xml><?xml version="1.0" encoding="utf-8"?>
<sst xmlns="http://schemas.openxmlformats.org/spreadsheetml/2006/main" count="171" uniqueCount="155">
  <si>
    <t>Oct - Dec., 2022</t>
  </si>
  <si>
    <t>Jan - Mar., 2023</t>
  </si>
  <si>
    <t>Apr - Jun., 2023</t>
  </si>
  <si>
    <t>Jul - Sep., 2023</t>
  </si>
  <si>
    <t>Total</t>
  </si>
  <si>
    <t>Actual</t>
  </si>
  <si>
    <t>Budget</t>
  </si>
  <si>
    <t>over Budget</t>
  </si>
  <si>
    <t>% of Budget</t>
  </si>
  <si>
    <t>Income</t>
  </si>
  <si>
    <t xml:space="preserve">   100 District Dues</t>
  </si>
  <si>
    <t xml:space="preserve">   110 OI Allocations &amp; Rebates</t>
  </si>
  <si>
    <t xml:space="preserve">   120 District Conventions</t>
  </si>
  <si>
    <t xml:space="preserve">      122 Registration</t>
  </si>
  <si>
    <t xml:space="preserve">      123 Old-timers Breakfast</t>
  </si>
  <si>
    <t xml:space="preserve">      125 Governor's Dinner</t>
  </si>
  <si>
    <t xml:space="preserve">      126 Donations (Silent Auction)</t>
  </si>
  <si>
    <t xml:space="preserve">      129 Miscellaneous Revenue</t>
  </si>
  <si>
    <t xml:space="preserve">   Total 120 District Conventions</t>
  </si>
  <si>
    <t xml:space="preserve">   130 District Conferences</t>
  </si>
  <si>
    <t xml:space="preserve">      132 Registration 1st Quarter</t>
  </si>
  <si>
    <t xml:space="preserve">      133 Luncheon</t>
  </si>
  <si>
    <t xml:space="preserve">      136 Registration 2nd Quarter</t>
  </si>
  <si>
    <t xml:space="preserve">      137 Luncheon 2nd Quarter</t>
  </si>
  <si>
    <t xml:space="preserve">      139.1 Registration 3rd Quarter</t>
  </si>
  <si>
    <t xml:space="preserve">      139.2 Luncheon 3rd Quarter</t>
  </si>
  <si>
    <t xml:space="preserve">   Total 130 District Conferences</t>
  </si>
  <si>
    <t xml:space="preserve">   160 Interest</t>
  </si>
  <si>
    <t xml:space="preserve">   180 Other Revenue</t>
  </si>
  <si>
    <t xml:space="preserve">   181 Start up from Previous Admin</t>
  </si>
  <si>
    <t xml:space="preserve">   650 Accumulated Budget Surplus</t>
  </si>
  <si>
    <t xml:space="preserve">   Feathers Project</t>
  </si>
  <si>
    <t xml:space="preserve">   Unapplied Cash Payment Income</t>
  </si>
  <si>
    <t>Total Income</t>
  </si>
  <si>
    <t>Gross Profit</t>
  </si>
  <si>
    <t>Expenses</t>
  </si>
  <si>
    <t xml:space="preserve">   200 Governor</t>
  </si>
  <si>
    <t xml:space="preserve">   210 Lt. Governors</t>
  </si>
  <si>
    <t xml:space="preserve">      211 Zone 1</t>
  </si>
  <si>
    <t xml:space="preserve">      212 Zone 2</t>
  </si>
  <si>
    <t xml:space="preserve">      213 Zone 3</t>
  </si>
  <si>
    <t xml:space="preserve">      215 Zone 5</t>
  </si>
  <si>
    <t xml:space="preserve">      216 Zone 6</t>
  </si>
  <si>
    <t xml:space="preserve">      217 Zone 7</t>
  </si>
  <si>
    <t xml:space="preserve">      218 Zone 8</t>
  </si>
  <si>
    <t xml:space="preserve">      219 Zone 9</t>
  </si>
  <si>
    <t xml:space="preserve">      220 Zone 10</t>
  </si>
  <si>
    <t xml:space="preserve">   Total 210 Lt. Governors</t>
  </si>
  <si>
    <t xml:space="preserve">   250 Secretary-Treasurer</t>
  </si>
  <si>
    <t xml:space="preserve">   255 Governor Elect</t>
  </si>
  <si>
    <t xml:space="preserve">   265 Committee Chairs</t>
  </si>
  <si>
    <t xml:space="preserve">      266 Awards &amp; Achievement</t>
  </si>
  <si>
    <t xml:space="preserve">      268 Candidate Qualification</t>
  </si>
  <si>
    <t xml:space="preserve">      270 CCDHH</t>
  </si>
  <si>
    <t xml:space="preserve">      272 Public Relations/Social Media</t>
  </si>
  <si>
    <t xml:space="preserve">      273 District Conferences/Convention</t>
  </si>
  <si>
    <t xml:space="preserve">      274 Essay</t>
  </si>
  <si>
    <t xml:space="preserve">      275 Finance</t>
  </si>
  <si>
    <t xml:space="preserve">      277 Historian</t>
  </si>
  <si>
    <t xml:space="preserve">      278 New Club Building</t>
  </si>
  <si>
    <t xml:space="preserve">      279 Junior Golf</t>
  </si>
  <si>
    <t xml:space="preserve">      280 Leadership/Development</t>
  </si>
  <si>
    <t xml:space="preserve">      281 Membership</t>
  </si>
  <si>
    <t xml:space="preserve">      282 O.I. Ambassador</t>
  </si>
  <si>
    <t xml:space="preserve">      283 CCOF</t>
  </si>
  <si>
    <t xml:space="preserve">      284 Oratorical</t>
  </si>
  <si>
    <t xml:space="preserve">      285 Parliamentarian</t>
  </si>
  <si>
    <t xml:space="preserve">      286 Sgt at Arms</t>
  </si>
  <si>
    <t xml:space="preserve">      287 Webmaster</t>
  </si>
  <si>
    <t xml:space="preserve">      288 JOI</t>
  </si>
  <si>
    <t xml:space="preserve">      289 Hospitality</t>
  </si>
  <si>
    <t xml:space="preserve">      291 Specialty Chair</t>
  </si>
  <si>
    <t xml:space="preserve">      292 JOI Governor</t>
  </si>
  <si>
    <t xml:space="preserve">   Total 265 Committee Chairs</t>
  </si>
  <si>
    <t xml:space="preserve">   310 Postage</t>
  </si>
  <si>
    <t xml:space="preserve">   320 Printing &amp; Supplies</t>
  </si>
  <si>
    <t xml:space="preserve">   350 District Convention</t>
  </si>
  <si>
    <t xml:space="preserve">      353 Opening Ceremonies</t>
  </si>
  <si>
    <t xml:space="preserve">      354 Old Timer's Breakfast</t>
  </si>
  <si>
    <t xml:space="preserve">      356 Governor's Dinner</t>
  </si>
  <si>
    <t xml:space="preserve">      357 Facilities</t>
  </si>
  <si>
    <t xml:space="preserve">      359 VIP Dinner, OI Rep etc</t>
  </si>
  <si>
    <t xml:space="preserve">      359.1 Refunds, Loans</t>
  </si>
  <si>
    <t xml:space="preserve">      359.2 Administration</t>
  </si>
  <si>
    <t xml:space="preserve">      359.3 Contingencies</t>
  </si>
  <si>
    <t xml:space="preserve">      359.4 Courtesies</t>
  </si>
  <si>
    <t xml:space="preserve">      359.6 Governor's Gift</t>
  </si>
  <si>
    <t xml:space="preserve">      359.7 OI President Gift</t>
  </si>
  <si>
    <t xml:space="preserve">   Total 350 District Convention</t>
  </si>
  <si>
    <t xml:space="preserve">   360 District Conferences Expenses</t>
  </si>
  <si>
    <t xml:space="preserve">      361 Luncheon 1st Quarter</t>
  </si>
  <si>
    <t xml:space="preserve">      362 Meeting Rooms/Lodgings</t>
  </si>
  <si>
    <t xml:space="preserve">      363 Other Contingencies 1st Quarter</t>
  </si>
  <si>
    <t xml:space="preserve">         363.1 OI Representative Room &amp; Gift</t>
  </si>
  <si>
    <t xml:space="preserve">      Total 363 Other Contingencies 1st Quarter</t>
  </si>
  <si>
    <t xml:space="preserve">      364 Hospitality 1st Quarter</t>
  </si>
  <si>
    <t xml:space="preserve">      365 Luncheon 2nd Quarter</t>
  </si>
  <si>
    <t xml:space="preserve">      366 Meeting Rooms/Lodgings 2nd Quarter</t>
  </si>
  <si>
    <t xml:space="preserve">      367 Other Contingencies 2nd Quarter</t>
  </si>
  <si>
    <t xml:space="preserve">         367.1 OI Representative Room &amp; Gift</t>
  </si>
  <si>
    <t xml:space="preserve">      Total 367 Other Contingencies 2nd Quarter</t>
  </si>
  <si>
    <t xml:space="preserve">      368 Hospitality 2nd Quarter</t>
  </si>
  <si>
    <t xml:space="preserve">      369 Luncheon 3rd Quarter</t>
  </si>
  <si>
    <t xml:space="preserve">      369.1 Meeting Rooms/Lodging 3rd Quarter</t>
  </si>
  <si>
    <t xml:space="preserve">      369.2 Other Contingencies 3rd Quarter</t>
  </si>
  <si>
    <t xml:space="preserve">         369.21 OI Representative Room &amp; Gift</t>
  </si>
  <si>
    <t xml:space="preserve">      Total 369.2 Other Contingencies 3rd Quarter</t>
  </si>
  <si>
    <t xml:space="preserve">   Total 360 District Conferences Expenses</t>
  </si>
  <si>
    <t xml:space="preserve">   370 Oratorical Expenses</t>
  </si>
  <si>
    <t xml:space="preserve">      370.2 Certificates, Frames Regional &amp; District</t>
  </si>
  <si>
    <t xml:space="preserve">      370.3 Refreshments</t>
  </si>
  <si>
    <t xml:space="preserve">      370.4 Gifts for Judges</t>
  </si>
  <si>
    <t xml:space="preserve">      370.5 Miscellaneous</t>
  </si>
  <si>
    <t xml:space="preserve">      370.6 District Winner Travel Costs</t>
  </si>
  <si>
    <t xml:space="preserve">   Total 370 Oratorical Expenses</t>
  </si>
  <si>
    <t xml:space="preserve">   371 CCDHH</t>
  </si>
  <si>
    <t xml:space="preserve">      371.1 Certificates, Frames etc. District</t>
  </si>
  <si>
    <t xml:space="preserve">      371.2 Refreshments</t>
  </si>
  <si>
    <t xml:space="preserve">      371.3 Translators</t>
  </si>
  <si>
    <t xml:space="preserve">   Total 371 CCDHH</t>
  </si>
  <si>
    <t xml:space="preserve">   373 JOI - Youth Activities</t>
  </si>
  <si>
    <t xml:space="preserve">   380 Jr. Golf Tournament</t>
  </si>
  <si>
    <t xml:space="preserve">      381 Meals/Green Fees</t>
  </si>
  <si>
    <t xml:space="preserve">   Total 380 Jr. Golf Tournament</t>
  </si>
  <si>
    <t xml:space="preserve">   390 Essay Contest Expenses</t>
  </si>
  <si>
    <t xml:space="preserve">      390.1 Awards &amp; Certificates, Postage</t>
  </si>
  <si>
    <t xml:space="preserve">      390.2 Gifts for Judges</t>
  </si>
  <si>
    <t xml:space="preserve">      390.3 Miscellaneous Essay</t>
  </si>
  <si>
    <t xml:space="preserve">   Total 390 Essay Contest Expenses</t>
  </si>
  <si>
    <t xml:space="preserve">   400 Name Badges</t>
  </si>
  <si>
    <t xml:space="preserve">   410 Recognition / Incentives</t>
  </si>
  <si>
    <t xml:space="preserve">   411 District Pins</t>
  </si>
  <si>
    <t xml:space="preserve">   420 Audit &amp; Bank Charges</t>
  </si>
  <si>
    <t xml:space="preserve">   460 'Start-Up' funds to Next Admin</t>
  </si>
  <si>
    <t xml:space="preserve">   470 MIscellaneous Expenses</t>
  </si>
  <si>
    <t xml:space="preserve">   480 Previous Administration Expense</t>
  </si>
  <si>
    <t xml:space="preserve">   495 Governor's Discretionary</t>
  </si>
  <si>
    <t xml:space="preserve">   496 Website</t>
  </si>
  <si>
    <t xml:space="preserve">   500 Governor - International Convention</t>
  </si>
  <si>
    <t xml:space="preserve">   510 Lt.Gov., NCB/Membership Designates</t>
  </si>
  <si>
    <t xml:space="preserve">   540 Secretary/Treasurer - Current</t>
  </si>
  <si>
    <t xml:space="preserve">   541 Secretary/Treasurer - Designate</t>
  </si>
  <si>
    <t xml:space="preserve">   550 Governor Elect International Convention</t>
  </si>
  <si>
    <t xml:space="preserve">   560 District Expenses (Hospitality)</t>
  </si>
  <si>
    <t xml:space="preserve">   570 JOI Governor International Convention</t>
  </si>
  <si>
    <t xml:space="preserve">   571 Feather's Project Expense</t>
  </si>
  <si>
    <t xml:space="preserve">   657 New Club Building (Banner, Bell, Gavel, Gift)</t>
  </si>
  <si>
    <t xml:space="preserve">   Bad debts</t>
  </si>
  <si>
    <t>Total Expenses</t>
  </si>
  <si>
    <t>Net Operating Income</t>
  </si>
  <si>
    <t>Net Income</t>
  </si>
  <si>
    <t>Thursday, Jul. 06, 2023 08:56:54 a.m. GMT-7 - Cash Basis</t>
  </si>
  <si>
    <t>Central Ontario Optimist District</t>
  </si>
  <si>
    <t xml:space="preserve">Budget vs. Actuals: FY2023 - FY23 P&amp;L </t>
  </si>
  <si>
    <t>October 2022 -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</si>
</sst>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5" x14ac:knownFonts="1">
    <font>
      <sz val="11"/>
      <color indexed="8"/>
      <name val="Calibri"/>
      <family val="2"/>
      <scheme val="minor"/>
    </font>
    <font>
      <b/>
      <sz val="14"/>
      <color indexed="8"/>
      <name val="Arial"/>
    </font>
    <font>
      <b/>
      <sz val="14"/>
      <color indexed="8"/>
      <name val="Arial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10" fontId="4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10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3"/>
  <sheetViews>
    <sheetView tabSelected="1" topLeftCell="A136" workbookViewId="0">
      <selection activeCell="B127" sqref="B127:U144"/>
    </sheetView>
  </sheetViews>
  <sheetFormatPr defaultRowHeight="14.4" x14ac:dyDescent="0.3"/>
  <cols>
    <col min="1" max="1" width="45.5546875" customWidth="1"/>
    <col min="2" max="3" width="15.5546875" bestFit="1" customWidth="1"/>
    <col min="4" max="4" width="16.44140625" bestFit="1" customWidth="1"/>
    <col min="5" max="5" width="11.33203125" bestFit="1" customWidth="1"/>
    <col min="6" max="7" width="15.5546875" bestFit="1" customWidth="1"/>
    <col min="8" max="8" width="15" bestFit="1" customWidth="1"/>
    <col min="9" max="9" width="11.33203125" bestFit="1" customWidth="1"/>
    <col min="10" max="11" width="15.5546875" bestFit="1" customWidth="1"/>
    <col min="12" max="12" width="15" bestFit="1" customWidth="1"/>
    <col min="13" max="13" width="12" bestFit="1" customWidth="1"/>
    <col min="14" max="14" width="11.88671875" bestFit="1" customWidth="1"/>
    <col min="15" max="16" width="16.44140625" bestFit="1" customWidth="1"/>
    <col min="17" max="17" width="11.33203125" bestFit="1" customWidth="1"/>
    <col min="18" max="19" width="15.5546875" bestFit="1" customWidth="1"/>
    <col min="20" max="20" width="16.44140625" bestFit="1" customWidth="1"/>
    <col min="21" max="21" width="11.33203125" bestFit="1" customWidth="1"/>
  </cols>
  <sheetData>
    <row r="1" spans="1:21" ht="17.399999999999999" x14ac:dyDescent="0.3">
      <c r="A1" s="2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7.399999999999999" x14ac:dyDescent="0.3">
      <c r="A2" s="2" t="s">
        <v>153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5" customFormat="1" ht="18" x14ac:dyDescent="0.35">
      <c r="A3" s="3" t="s">
        <v>154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5" customFormat="1" ht="18" x14ac:dyDescent="0.35"/>
    <row r="5" spans="1:21" s="5" customFormat="1" ht="18" x14ac:dyDescent="0.35">
      <c r="A5" s="6"/>
      <c r="B5" s="7" t="s">
        <v>0</v>
      </c>
      <c r="C5" s="8"/>
      <c r="D5" s="8"/>
      <c r="E5" s="8"/>
      <c r="F5" s="7" t="s">
        <v>1</v>
      </c>
      <c r="G5" s="8"/>
      <c r="H5" s="8"/>
      <c r="I5" s="8"/>
      <c r="J5" s="7" t="s">
        <v>2</v>
      </c>
      <c r="K5" s="8"/>
      <c r="L5" s="8"/>
      <c r="M5" s="8"/>
      <c r="N5" s="7" t="s">
        <v>3</v>
      </c>
      <c r="O5" s="8"/>
      <c r="P5" s="8"/>
      <c r="Q5" s="8"/>
      <c r="R5" s="7" t="s">
        <v>4</v>
      </c>
      <c r="S5" s="8"/>
      <c r="T5" s="8"/>
      <c r="U5" s="8"/>
    </row>
    <row r="6" spans="1:21" s="5" customFormat="1" ht="52.8" x14ac:dyDescent="0.35">
      <c r="A6" s="6"/>
      <c r="B6" s="9" t="s">
        <v>5</v>
      </c>
      <c r="C6" s="9" t="s">
        <v>6</v>
      </c>
      <c r="D6" s="9" t="s">
        <v>7</v>
      </c>
      <c r="E6" s="9" t="s">
        <v>8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5</v>
      </c>
      <c r="K6" s="9" t="s">
        <v>6</v>
      </c>
      <c r="L6" s="9" t="s">
        <v>7</v>
      </c>
      <c r="M6" s="9" t="s">
        <v>8</v>
      </c>
      <c r="N6" s="9" t="s">
        <v>5</v>
      </c>
      <c r="O6" s="9" t="s">
        <v>6</v>
      </c>
      <c r="P6" s="9" t="s">
        <v>7</v>
      </c>
      <c r="Q6" s="9" t="s">
        <v>8</v>
      </c>
      <c r="R6" s="9" t="s">
        <v>5</v>
      </c>
      <c r="S6" s="9" t="s">
        <v>6</v>
      </c>
      <c r="T6" s="9" t="s">
        <v>7</v>
      </c>
      <c r="U6" s="9" t="s">
        <v>8</v>
      </c>
    </row>
    <row r="7" spans="1:21" s="5" customFormat="1" ht="18" x14ac:dyDescent="0.35">
      <c r="A7" s="10" t="s">
        <v>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5" customFormat="1" ht="18" x14ac:dyDescent="0.35">
      <c r="A8" s="22" t="s">
        <v>10</v>
      </c>
      <c r="B8" s="19">
        <f>9350</f>
        <v>9350</v>
      </c>
      <c r="C8" s="19">
        <f>9840</f>
        <v>9840</v>
      </c>
      <c r="D8" s="19">
        <f t="shared" ref="D8:D32" si="0">(B8)-(C8)</f>
        <v>-490</v>
      </c>
      <c r="E8" s="20">
        <f t="shared" ref="E8:E32" si="1">IF(C8=0,"",(B8)/(C8))</f>
        <v>0.95020325203252032</v>
      </c>
      <c r="F8" s="19">
        <f>570</f>
        <v>570</v>
      </c>
      <c r="G8" s="19">
        <f>0</f>
        <v>0</v>
      </c>
      <c r="H8" s="19">
        <f t="shared" ref="H8:H32" si="2">(F8)-(G8)</f>
        <v>570</v>
      </c>
      <c r="I8" s="20" t="str">
        <f t="shared" ref="I8:I32" si="3">IF(G8=0,"",(F8)/(G8))</f>
        <v/>
      </c>
      <c r="J8" s="19">
        <f>10060</f>
        <v>10060</v>
      </c>
      <c r="K8" s="19">
        <f>9840</f>
        <v>9840</v>
      </c>
      <c r="L8" s="19">
        <f t="shared" ref="L8:L32" si="4">(J8)-(K8)</f>
        <v>220</v>
      </c>
      <c r="M8" s="20">
        <f t="shared" ref="M8:M32" si="5">IF(K8=0,"",(J8)/(K8))</f>
        <v>1.0223577235772359</v>
      </c>
      <c r="N8" s="21"/>
      <c r="O8" s="19">
        <f>0</f>
        <v>0</v>
      </c>
      <c r="P8" s="19">
        <f t="shared" ref="P8:P32" si="6">(N8)-(O8)</f>
        <v>0</v>
      </c>
      <c r="Q8" s="20" t="str">
        <f t="shared" ref="Q8:Q32" si="7">IF(O8=0,"",(N8)/(O8))</f>
        <v/>
      </c>
      <c r="R8" s="19">
        <f t="shared" ref="R8:R32" si="8">(((B8)+(F8))+(J8))+(N8)</f>
        <v>19980</v>
      </c>
      <c r="S8" s="19">
        <f t="shared" ref="S8:S32" si="9">(((C8)+(G8))+(K8))+(O8)</f>
        <v>19680</v>
      </c>
      <c r="T8" s="19">
        <f t="shared" ref="T8:T32" si="10">(R8)-(S8)</f>
        <v>300</v>
      </c>
      <c r="U8" s="20">
        <f t="shared" ref="U8:U32" si="11">IF(S8=0,"",(R8)/(S8))</f>
        <v>1.0152439024390243</v>
      </c>
    </row>
    <row r="9" spans="1:21" s="5" customFormat="1" ht="18" x14ac:dyDescent="0.35">
      <c r="A9" s="22" t="s">
        <v>11</v>
      </c>
      <c r="B9" s="21"/>
      <c r="C9" s="19">
        <f>350</f>
        <v>350</v>
      </c>
      <c r="D9" s="19">
        <f t="shared" si="0"/>
        <v>-350</v>
      </c>
      <c r="E9" s="20">
        <f t="shared" si="1"/>
        <v>0</v>
      </c>
      <c r="F9" s="19">
        <f>463.23</f>
        <v>463.23</v>
      </c>
      <c r="G9" s="19">
        <f>0</f>
        <v>0</v>
      </c>
      <c r="H9" s="19">
        <f t="shared" si="2"/>
        <v>463.23</v>
      </c>
      <c r="I9" s="20" t="str">
        <f t="shared" si="3"/>
        <v/>
      </c>
      <c r="J9" s="21"/>
      <c r="K9" s="19">
        <f>350</f>
        <v>350</v>
      </c>
      <c r="L9" s="19">
        <f t="shared" si="4"/>
        <v>-350</v>
      </c>
      <c r="M9" s="20">
        <f t="shared" si="5"/>
        <v>0</v>
      </c>
      <c r="N9" s="19">
        <f>535.55</f>
        <v>535.54999999999995</v>
      </c>
      <c r="O9" s="19">
        <f>0</f>
        <v>0</v>
      </c>
      <c r="P9" s="19">
        <f t="shared" si="6"/>
        <v>535.54999999999995</v>
      </c>
      <c r="Q9" s="20" t="str">
        <f t="shared" si="7"/>
        <v/>
      </c>
      <c r="R9" s="19">
        <f t="shared" si="8"/>
        <v>998.78</v>
      </c>
      <c r="S9" s="19">
        <f t="shared" si="9"/>
        <v>700</v>
      </c>
      <c r="T9" s="19">
        <f t="shared" si="10"/>
        <v>298.77999999999997</v>
      </c>
      <c r="U9" s="20">
        <f t="shared" si="11"/>
        <v>1.4268285714285713</v>
      </c>
    </row>
    <row r="10" spans="1:21" s="5" customFormat="1" ht="18" x14ac:dyDescent="0.35">
      <c r="A10" s="22" t="s">
        <v>12</v>
      </c>
      <c r="B10" s="21"/>
      <c r="C10" s="21"/>
      <c r="D10" s="19">
        <f t="shared" si="0"/>
        <v>0</v>
      </c>
      <c r="E10" s="20" t="str">
        <f t="shared" si="1"/>
        <v/>
      </c>
      <c r="F10" s="21"/>
      <c r="G10" s="21"/>
      <c r="H10" s="19">
        <f t="shared" si="2"/>
        <v>0</v>
      </c>
      <c r="I10" s="20" t="str">
        <f t="shared" si="3"/>
        <v/>
      </c>
      <c r="J10" s="21"/>
      <c r="K10" s="21"/>
      <c r="L10" s="19">
        <f t="shared" si="4"/>
        <v>0</v>
      </c>
      <c r="M10" s="20" t="str">
        <f t="shared" si="5"/>
        <v/>
      </c>
      <c r="N10" s="21"/>
      <c r="O10" s="21"/>
      <c r="P10" s="19">
        <f t="shared" si="6"/>
        <v>0</v>
      </c>
      <c r="Q10" s="20" t="str">
        <f t="shared" si="7"/>
        <v/>
      </c>
      <c r="R10" s="19">
        <f t="shared" si="8"/>
        <v>0</v>
      </c>
      <c r="S10" s="19">
        <f t="shared" si="9"/>
        <v>0</v>
      </c>
      <c r="T10" s="19">
        <f t="shared" si="10"/>
        <v>0</v>
      </c>
      <c r="U10" s="20" t="str">
        <f t="shared" si="11"/>
        <v/>
      </c>
    </row>
    <row r="11" spans="1:21" s="5" customFormat="1" ht="18" x14ac:dyDescent="0.35">
      <c r="A11" s="22" t="s">
        <v>13</v>
      </c>
      <c r="B11" s="21"/>
      <c r="C11" s="19">
        <f>0</f>
        <v>0</v>
      </c>
      <c r="D11" s="19">
        <f t="shared" si="0"/>
        <v>0</v>
      </c>
      <c r="E11" s="20" t="str">
        <f t="shared" si="1"/>
        <v/>
      </c>
      <c r="F11" s="21"/>
      <c r="G11" s="19">
        <f>0</f>
        <v>0</v>
      </c>
      <c r="H11" s="19">
        <f t="shared" si="2"/>
        <v>0</v>
      </c>
      <c r="I11" s="20" t="str">
        <f t="shared" si="3"/>
        <v/>
      </c>
      <c r="J11" s="19">
        <f>480</f>
        <v>480</v>
      </c>
      <c r="K11" s="19">
        <f>0</f>
        <v>0</v>
      </c>
      <c r="L11" s="19">
        <f t="shared" si="4"/>
        <v>480</v>
      </c>
      <c r="M11" s="20" t="str">
        <f t="shared" si="5"/>
        <v/>
      </c>
      <c r="N11" s="19">
        <f>120</f>
        <v>120</v>
      </c>
      <c r="O11" s="19">
        <f>3680</f>
        <v>3680</v>
      </c>
      <c r="P11" s="19">
        <f t="shared" si="6"/>
        <v>-3560</v>
      </c>
      <c r="Q11" s="20">
        <f t="shared" si="7"/>
        <v>3.2608695652173912E-2</v>
      </c>
      <c r="R11" s="19">
        <f t="shared" si="8"/>
        <v>600</v>
      </c>
      <c r="S11" s="19">
        <f t="shared" si="9"/>
        <v>3680</v>
      </c>
      <c r="T11" s="19">
        <f t="shared" si="10"/>
        <v>-3080</v>
      </c>
      <c r="U11" s="20">
        <f t="shared" si="11"/>
        <v>0.16304347826086957</v>
      </c>
    </row>
    <row r="12" spans="1:21" s="5" customFormat="1" ht="18" x14ac:dyDescent="0.35">
      <c r="A12" s="22" t="s">
        <v>14</v>
      </c>
      <c r="B12" s="21"/>
      <c r="C12" s="19">
        <f>0</f>
        <v>0</v>
      </c>
      <c r="D12" s="19">
        <f t="shared" si="0"/>
        <v>0</v>
      </c>
      <c r="E12" s="20" t="str">
        <f t="shared" si="1"/>
        <v/>
      </c>
      <c r="F12" s="21"/>
      <c r="G12" s="19">
        <f>0</f>
        <v>0</v>
      </c>
      <c r="H12" s="19">
        <f t="shared" si="2"/>
        <v>0</v>
      </c>
      <c r="I12" s="20" t="str">
        <f t="shared" si="3"/>
        <v/>
      </c>
      <c r="J12" s="19">
        <f>120</f>
        <v>120</v>
      </c>
      <c r="K12" s="19">
        <f>0</f>
        <v>0</v>
      </c>
      <c r="L12" s="19">
        <f t="shared" si="4"/>
        <v>120</v>
      </c>
      <c r="M12" s="20" t="str">
        <f t="shared" si="5"/>
        <v/>
      </c>
      <c r="N12" s="19">
        <f>20</f>
        <v>20</v>
      </c>
      <c r="O12" s="19">
        <f>1840</f>
        <v>1840</v>
      </c>
      <c r="P12" s="19">
        <f t="shared" si="6"/>
        <v>-1820</v>
      </c>
      <c r="Q12" s="20">
        <f t="shared" si="7"/>
        <v>1.0869565217391304E-2</v>
      </c>
      <c r="R12" s="19">
        <f t="shared" si="8"/>
        <v>140</v>
      </c>
      <c r="S12" s="19">
        <f t="shared" si="9"/>
        <v>1840</v>
      </c>
      <c r="T12" s="19">
        <f t="shared" si="10"/>
        <v>-1700</v>
      </c>
      <c r="U12" s="20">
        <f t="shared" si="11"/>
        <v>7.6086956521739135E-2</v>
      </c>
    </row>
    <row r="13" spans="1:21" s="5" customFormat="1" ht="18" x14ac:dyDescent="0.35">
      <c r="A13" s="22" t="s">
        <v>15</v>
      </c>
      <c r="B13" s="21"/>
      <c r="C13" s="19">
        <f>0</f>
        <v>0</v>
      </c>
      <c r="D13" s="19">
        <f t="shared" si="0"/>
        <v>0</v>
      </c>
      <c r="E13" s="20" t="str">
        <f t="shared" si="1"/>
        <v/>
      </c>
      <c r="F13" s="21"/>
      <c r="G13" s="19">
        <f>0</f>
        <v>0</v>
      </c>
      <c r="H13" s="19">
        <f t="shared" si="2"/>
        <v>0</v>
      </c>
      <c r="I13" s="20" t="str">
        <f t="shared" si="3"/>
        <v/>
      </c>
      <c r="J13" s="19">
        <f>480</f>
        <v>480</v>
      </c>
      <c r="K13" s="19">
        <f>0</f>
        <v>0</v>
      </c>
      <c r="L13" s="19">
        <f t="shared" si="4"/>
        <v>480</v>
      </c>
      <c r="M13" s="20" t="str">
        <f t="shared" si="5"/>
        <v/>
      </c>
      <c r="N13" s="19">
        <f>60</f>
        <v>60</v>
      </c>
      <c r="O13" s="19">
        <f>4600</f>
        <v>4600</v>
      </c>
      <c r="P13" s="19">
        <f t="shared" si="6"/>
        <v>-4540</v>
      </c>
      <c r="Q13" s="20">
        <f t="shared" si="7"/>
        <v>1.3043478260869565E-2</v>
      </c>
      <c r="R13" s="19">
        <f t="shared" si="8"/>
        <v>540</v>
      </c>
      <c r="S13" s="19">
        <f t="shared" si="9"/>
        <v>4600</v>
      </c>
      <c r="T13" s="19">
        <f t="shared" si="10"/>
        <v>-4060</v>
      </c>
      <c r="U13" s="20">
        <f t="shared" si="11"/>
        <v>0.11739130434782609</v>
      </c>
    </row>
    <row r="14" spans="1:21" s="5" customFormat="1" ht="18" x14ac:dyDescent="0.35">
      <c r="A14" s="22" t="s">
        <v>16</v>
      </c>
      <c r="B14" s="21"/>
      <c r="C14" s="19">
        <f>0</f>
        <v>0</v>
      </c>
      <c r="D14" s="19">
        <f t="shared" si="0"/>
        <v>0</v>
      </c>
      <c r="E14" s="20" t="str">
        <f t="shared" si="1"/>
        <v/>
      </c>
      <c r="F14" s="21"/>
      <c r="G14" s="19">
        <f>0</f>
        <v>0</v>
      </c>
      <c r="H14" s="19">
        <f t="shared" si="2"/>
        <v>0</v>
      </c>
      <c r="I14" s="20" t="str">
        <f t="shared" si="3"/>
        <v/>
      </c>
      <c r="J14" s="21"/>
      <c r="K14" s="19">
        <f>0</f>
        <v>0</v>
      </c>
      <c r="L14" s="19">
        <f t="shared" si="4"/>
        <v>0</v>
      </c>
      <c r="M14" s="20" t="str">
        <f t="shared" si="5"/>
        <v/>
      </c>
      <c r="N14" s="21"/>
      <c r="O14" s="19">
        <f>1000</f>
        <v>1000</v>
      </c>
      <c r="P14" s="19">
        <f t="shared" si="6"/>
        <v>-1000</v>
      </c>
      <c r="Q14" s="20">
        <f t="shared" si="7"/>
        <v>0</v>
      </c>
      <c r="R14" s="19">
        <f t="shared" si="8"/>
        <v>0</v>
      </c>
      <c r="S14" s="19">
        <f t="shared" si="9"/>
        <v>1000</v>
      </c>
      <c r="T14" s="19">
        <f t="shared" si="10"/>
        <v>-1000</v>
      </c>
      <c r="U14" s="20">
        <f t="shared" si="11"/>
        <v>0</v>
      </c>
    </row>
    <row r="15" spans="1:21" s="5" customFormat="1" ht="18" x14ac:dyDescent="0.35">
      <c r="A15" s="10" t="s">
        <v>17</v>
      </c>
      <c r="B15" s="11"/>
      <c r="C15" s="11"/>
      <c r="D15" s="12">
        <f t="shared" si="0"/>
        <v>0</v>
      </c>
      <c r="E15" s="13" t="str">
        <f t="shared" si="1"/>
        <v/>
      </c>
      <c r="F15" s="11"/>
      <c r="G15" s="11"/>
      <c r="H15" s="12">
        <f t="shared" si="2"/>
        <v>0</v>
      </c>
      <c r="I15" s="13" t="str">
        <f t="shared" si="3"/>
        <v/>
      </c>
      <c r="J15" s="12">
        <f>650</f>
        <v>650</v>
      </c>
      <c r="K15" s="11"/>
      <c r="L15" s="12">
        <f t="shared" si="4"/>
        <v>650</v>
      </c>
      <c r="M15" s="13" t="str">
        <f t="shared" si="5"/>
        <v/>
      </c>
      <c r="N15" s="12">
        <f>50</f>
        <v>50</v>
      </c>
      <c r="O15" s="11"/>
      <c r="P15" s="12">
        <f t="shared" si="6"/>
        <v>50</v>
      </c>
      <c r="Q15" s="13" t="str">
        <f t="shared" si="7"/>
        <v/>
      </c>
      <c r="R15" s="12">
        <f t="shared" si="8"/>
        <v>700</v>
      </c>
      <c r="S15" s="12">
        <f t="shared" si="9"/>
        <v>0</v>
      </c>
      <c r="T15" s="12">
        <f t="shared" si="10"/>
        <v>700</v>
      </c>
      <c r="U15" s="13" t="str">
        <f t="shared" si="11"/>
        <v/>
      </c>
    </row>
    <row r="16" spans="1:21" s="5" customFormat="1" ht="18" x14ac:dyDescent="0.35">
      <c r="A16" s="10" t="s">
        <v>18</v>
      </c>
      <c r="B16" s="14">
        <f>(((((B10)+(B11))+(B12))+(B13))+(B14))+(B15)</f>
        <v>0</v>
      </c>
      <c r="C16" s="14">
        <f>(((((C10)+(C11))+(C12))+(C13))+(C14))+(C15)</f>
        <v>0</v>
      </c>
      <c r="D16" s="14">
        <f t="shared" si="0"/>
        <v>0</v>
      </c>
      <c r="E16" s="15" t="str">
        <f t="shared" si="1"/>
        <v/>
      </c>
      <c r="F16" s="14">
        <f>(((((F10)+(F11))+(F12))+(F13))+(F14))+(F15)</f>
        <v>0</v>
      </c>
      <c r="G16" s="14">
        <f>(((((G10)+(G11))+(G12))+(G13))+(G14))+(G15)</f>
        <v>0</v>
      </c>
      <c r="H16" s="14">
        <f t="shared" si="2"/>
        <v>0</v>
      </c>
      <c r="I16" s="15" t="str">
        <f t="shared" si="3"/>
        <v/>
      </c>
      <c r="J16" s="14">
        <f>(((((J10)+(J11))+(J12))+(J13))+(J14))+(J15)</f>
        <v>1730</v>
      </c>
      <c r="K16" s="14">
        <f>(((((K10)+(K11))+(K12))+(K13))+(K14))+(K15)</f>
        <v>0</v>
      </c>
      <c r="L16" s="14">
        <f t="shared" si="4"/>
        <v>1730</v>
      </c>
      <c r="M16" s="15" t="str">
        <f t="shared" si="5"/>
        <v/>
      </c>
      <c r="N16" s="14">
        <f>(((((N10)+(N11))+(N12))+(N13))+(N14))+(N15)</f>
        <v>250</v>
      </c>
      <c r="O16" s="14">
        <f>(((((O10)+(O11))+(O12))+(O13))+(O14))+(O15)</f>
        <v>11120</v>
      </c>
      <c r="P16" s="14">
        <f t="shared" si="6"/>
        <v>-10870</v>
      </c>
      <c r="Q16" s="15">
        <f t="shared" si="7"/>
        <v>2.2482014388489208E-2</v>
      </c>
      <c r="R16" s="14">
        <f t="shared" si="8"/>
        <v>1980</v>
      </c>
      <c r="S16" s="14">
        <f t="shared" si="9"/>
        <v>11120</v>
      </c>
      <c r="T16" s="14">
        <f t="shared" si="10"/>
        <v>-9140</v>
      </c>
      <c r="U16" s="15">
        <f t="shared" si="11"/>
        <v>0.17805755395683454</v>
      </c>
    </row>
    <row r="17" spans="1:21" s="5" customFormat="1" ht="18" x14ac:dyDescent="0.35">
      <c r="A17" s="10" t="s">
        <v>19</v>
      </c>
      <c r="B17" s="21"/>
      <c r="C17" s="21"/>
      <c r="D17" s="19">
        <f t="shared" si="0"/>
        <v>0</v>
      </c>
      <c r="E17" s="20" t="str">
        <f t="shared" si="1"/>
        <v/>
      </c>
      <c r="F17" s="21"/>
      <c r="G17" s="21"/>
      <c r="H17" s="19">
        <f t="shared" si="2"/>
        <v>0</v>
      </c>
      <c r="I17" s="20" t="str">
        <f t="shared" si="3"/>
        <v/>
      </c>
      <c r="J17" s="21"/>
      <c r="K17" s="21"/>
      <c r="L17" s="19">
        <f t="shared" si="4"/>
        <v>0</v>
      </c>
      <c r="M17" s="20" t="str">
        <f t="shared" si="5"/>
        <v/>
      </c>
      <c r="N17" s="21"/>
      <c r="O17" s="21"/>
      <c r="P17" s="19">
        <f t="shared" si="6"/>
        <v>0</v>
      </c>
      <c r="Q17" s="20" t="str">
        <f t="shared" si="7"/>
        <v/>
      </c>
      <c r="R17" s="19">
        <f t="shared" si="8"/>
        <v>0</v>
      </c>
      <c r="S17" s="19">
        <f t="shared" si="9"/>
        <v>0</v>
      </c>
      <c r="T17" s="19">
        <f t="shared" si="10"/>
        <v>0</v>
      </c>
      <c r="U17" s="20" t="str">
        <f t="shared" si="11"/>
        <v/>
      </c>
    </row>
    <row r="18" spans="1:21" s="5" customFormat="1" ht="18" x14ac:dyDescent="0.35">
      <c r="A18" s="10" t="s">
        <v>20</v>
      </c>
      <c r="B18" s="19">
        <f>1200</f>
        <v>1200</v>
      </c>
      <c r="C18" s="19">
        <f>1200</f>
        <v>1200</v>
      </c>
      <c r="D18" s="19">
        <f t="shared" si="0"/>
        <v>0</v>
      </c>
      <c r="E18" s="20">
        <f t="shared" si="1"/>
        <v>1</v>
      </c>
      <c r="F18" s="21"/>
      <c r="G18" s="19">
        <f>0</f>
        <v>0</v>
      </c>
      <c r="H18" s="19">
        <f t="shared" si="2"/>
        <v>0</v>
      </c>
      <c r="I18" s="20" t="str">
        <f t="shared" si="3"/>
        <v/>
      </c>
      <c r="J18" s="21"/>
      <c r="K18" s="19">
        <f>0</f>
        <v>0</v>
      </c>
      <c r="L18" s="19">
        <f t="shared" si="4"/>
        <v>0</v>
      </c>
      <c r="M18" s="20" t="str">
        <f t="shared" si="5"/>
        <v/>
      </c>
      <c r="N18" s="21"/>
      <c r="O18" s="19">
        <f>0</f>
        <v>0</v>
      </c>
      <c r="P18" s="19">
        <f t="shared" si="6"/>
        <v>0</v>
      </c>
      <c r="Q18" s="20" t="str">
        <f t="shared" si="7"/>
        <v/>
      </c>
      <c r="R18" s="19">
        <f t="shared" si="8"/>
        <v>1200</v>
      </c>
      <c r="S18" s="19">
        <f t="shared" si="9"/>
        <v>1200</v>
      </c>
      <c r="T18" s="19">
        <f t="shared" si="10"/>
        <v>0</v>
      </c>
      <c r="U18" s="20">
        <f t="shared" si="11"/>
        <v>1</v>
      </c>
    </row>
    <row r="19" spans="1:21" s="5" customFormat="1" ht="18" x14ac:dyDescent="0.35">
      <c r="A19" s="10" t="s">
        <v>21</v>
      </c>
      <c r="B19" s="19">
        <f>1260</f>
        <v>1260</v>
      </c>
      <c r="C19" s="19">
        <f>1750</f>
        <v>1750</v>
      </c>
      <c r="D19" s="19">
        <f t="shared" si="0"/>
        <v>-490</v>
      </c>
      <c r="E19" s="20">
        <f t="shared" si="1"/>
        <v>0.72</v>
      </c>
      <c r="F19" s="21"/>
      <c r="G19" s="19">
        <f>0</f>
        <v>0</v>
      </c>
      <c r="H19" s="19">
        <f t="shared" si="2"/>
        <v>0</v>
      </c>
      <c r="I19" s="20" t="str">
        <f t="shared" si="3"/>
        <v/>
      </c>
      <c r="J19" s="21"/>
      <c r="K19" s="19">
        <f>0</f>
        <v>0</v>
      </c>
      <c r="L19" s="19">
        <f t="shared" si="4"/>
        <v>0</v>
      </c>
      <c r="M19" s="20" t="str">
        <f t="shared" si="5"/>
        <v/>
      </c>
      <c r="N19" s="21"/>
      <c r="O19" s="19">
        <f>0</f>
        <v>0</v>
      </c>
      <c r="P19" s="19">
        <f t="shared" si="6"/>
        <v>0</v>
      </c>
      <c r="Q19" s="20" t="str">
        <f t="shared" si="7"/>
        <v/>
      </c>
      <c r="R19" s="19">
        <f t="shared" si="8"/>
        <v>1260</v>
      </c>
      <c r="S19" s="19">
        <f t="shared" si="9"/>
        <v>1750</v>
      </c>
      <c r="T19" s="19">
        <f t="shared" si="10"/>
        <v>-490</v>
      </c>
      <c r="U19" s="20">
        <f t="shared" si="11"/>
        <v>0.72</v>
      </c>
    </row>
    <row r="20" spans="1:21" s="5" customFormat="1" ht="18" x14ac:dyDescent="0.35">
      <c r="A20" s="10" t="s">
        <v>22</v>
      </c>
      <c r="B20" s="21"/>
      <c r="C20" s="19">
        <f>0</f>
        <v>0</v>
      </c>
      <c r="D20" s="19">
        <f t="shared" si="0"/>
        <v>0</v>
      </c>
      <c r="E20" s="20" t="str">
        <f t="shared" si="1"/>
        <v/>
      </c>
      <c r="F20" s="19">
        <f>1650</f>
        <v>1650</v>
      </c>
      <c r="G20" s="19">
        <f>1200</f>
        <v>1200</v>
      </c>
      <c r="H20" s="19">
        <f t="shared" si="2"/>
        <v>450</v>
      </c>
      <c r="I20" s="20">
        <f t="shared" si="3"/>
        <v>1.375</v>
      </c>
      <c r="J20" s="21"/>
      <c r="K20" s="19">
        <f>0</f>
        <v>0</v>
      </c>
      <c r="L20" s="19">
        <f t="shared" si="4"/>
        <v>0</v>
      </c>
      <c r="M20" s="20" t="str">
        <f t="shared" si="5"/>
        <v/>
      </c>
      <c r="N20" s="21"/>
      <c r="O20" s="19">
        <f>0</f>
        <v>0</v>
      </c>
      <c r="P20" s="19">
        <f t="shared" si="6"/>
        <v>0</v>
      </c>
      <c r="Q20" s="20" t="str">
        <f t="shared" si="7"/>
        <v/>
      </c>
      <c r="R20" s="19">
        <f t="shared" si="8"/>
        <v>1650</v>
      </c>
      <c r="S20" s="19">
        <f t="shared" si="9"/>
        <v>1200</v>
      </c>
      <c r="T20" s="19">
        <f t="shared" si="10"/>
        <v>450</v>
      </c>
      <c r="U20" s="20">
        <f t="shared" si="11"/>
        <v>1.375</v>
      </c>
    </row>
    <row r="21" spans="1:21" s="5" customFormat="1" ht="18" x14ac:dyDescent="0.35">
      <c r="A21" s="10" t="s">
        <v>23</v>
      </c>
      <c r="B21" s="21"/>
      <c r="C21" s="19">
        <f>0</f>
        <v>0</v>
      </c>
      <c r="D21" s="19">
        <f t="shared" si="0"/>
        <v>0</v>
      </c>
      <c r="E21" s="20" t="str">
        <f t="shared" si="1"/>
        <v/>
      </c>
      <c r="F21" s="19">
        <f>1770</f>
        <v>1770</v>
      </c>
      <c r="G21" s="19">
        <f>1750</f>
        <v>1750</v>
      </c>
      <c r="H21" s="19">
        <f t="shared" si="2"/>
        <v>20</v>
      </c>
      <c r="I21" s="20">
        <f t="shared" si="3"/>
        <v>1.0114285714285713</v>
      </c>
      <c r="J21" s="21"/>
      <c r="K21" s="19">
        <f>0</f>
        <v>0</v>
      </c>
      <c r="L21" s="19">
        <f t="shared" si="4"/>
        <v>0</v>
      </c>
      <c r="M21" s="20" t="str">
        <f t="shared" si="5"/>
        <v/>
      </c>
      <c r="N21" s="21"/>
      <c r="O21" s="19">
        <f>0</f>
        <v>0</v>
      </c>
      <c r="P21" s="19">
        <f t="shared" si="6"/>
        <v>0</v>
      </c>
      <c r="Q21" s="20" t="str">
        <f t="shared" si="7"/>
        <v/>
      </c>
      <c r="R21" s="19">
        <f t="shared" si="8"/>
        <v>1770</v>
      </c>
      <c r="S21" s="19">
        <f t="shared" si="9"/>
        <v>1750</v>
      </c>
      <c r="T21" s="19">
        <f t="shared" si="10"/>
        <v>20</v>
      </c>
      <c r="U21" s="20">
        <f t="shared" si="11"/>
        <v>1.0114285714285713</v>
      </c>
    </row>
    <row r="22" spans="1:21" s="5" customFormat="1" ht="18" x14ac:dyDescent="0.35">
      <c r="A22" s="10" t="s">
        <v>24</v>
      </c>
      <c r="B22" s="21"/>
      <c r="C22" s="19">
        <f>0</f>
        <v>0</v>
      </c>
      <c r="D22" s="19">
        <f t="shared" si="0"/>
        <v>0</v>
      </c>
      <c r="E22" s="20" t="str">
        <f t="shared" si="1"/>
        <v/>
      </c>
      <c r="F22" s="19">
        <f>150</f>
        <v>150</v>
      </c>
      <c r="G22" s="19">
        <f>0</f>
        <v>0</v>
      </c>
      <c r="H22" s="19">
        <f t="shared" si="2"/>
        <v>150</v>
      </c>
      <c r="I22" s="20" t="str">
        <f t="shared" si="3"/>
        <v/>
      </c>
      <c r="J22" s="19">
        <f>1490</f>
        <v>1490</v>
      </c>
      <c r="K22" s="19">
        <f>2000</f>
        <v>2000</v>
      </c>
      <c r="L22" s="19">
        <f t="shared" si="4"/>
        <v>-510</v>
      </c>
      <c r="M22" s="20">
        <f t="shared" si="5"/>
        <v>0.745</v>
      </c>
      <c r="N22" s="21"/>
      <c r="O22" s="19">
        <f>0</f>
        <v>0</v>
      </c>
      <c r="P22" s="19">
        <f t="shared" si="6"/>
        <v>0</v>
      </c>
      <c r="Q22" s="20" t="str">
        <f t="shared" si="7"/>
        <v/>
      </c>
      <c r="R22" s="19">
        <f t="shared" si="8"/>
        <v>1640</v>
      </c>
      <c r="S22" s="19">
        <f t="shared" si="9"/>
        <v>2000</v>
      </c>
      <c r="T22" s="19">
        <f t="shared" si="10"/>
        <v>-360</v>
      </c>
      <c r="U22" s="20">
        <f t="shared" si="11"/>
        <v>0.82</v>
      </c>
    </row>
    <row r="23" spans="1:21" s="5" customFormat="1" ht="18" x14ac:dyDescent="0.35">
      <c r="A23" s="10" t="s">
        <v>25</v>
      </c>
      <c r="B23" s="21"/>
      <c r="C23" s="19">
        <f>0</f>
        <v>0</v>
      </c>
      <c r="D23" s="19">
        <f t="shared" si="0"/>
        <v>0</v>
      </c>
      <c r="E23" s="20" t="str">
        <f t="shared" si="1"/>
        <v/>
      </c>
      <c r="F23" s="19">
        <f>200</f>
        <v>200</v>
      </c>
      <c r="G23" s="19">
        <f>0</f>
        <v>0</v>
      </c>
      <c r="H23" s="19">
        <f t="shared" si="2"/>
        <v>200</v>
      </c>
      <c r="I23" s="20" t="str">
        <f t="shared" si="3"/>
        <v/>
      </c>
      <c r="J23" s="19">
        <f>2880</f>
        <v>2880</v>
      </c>
      <c r="K23" s="19">
        <f>2800</f>
        <v>2800</v>
      </c>
      <c r="L23" s="19">
        <f t="shared" si="4"/>
        <v>80</v>
      </c>
      <c r="M23" s="20">
        <f t="shared" si="5"/>
        <v>1.0285714285714285</v>
      </c>
      <c r="N23" s="21"/>
      <c r="O23" s="19">
        <f>0</f>
        <v>0</v>
      </c>
      <c r="P23" s="19">
        <f t="shared" si="6"/>
        <v>0</v>
      </c>
      <c r="Q23" s="20" t="str">
        <f t="shared" si="7"/>
        <v/>
      </c>
      <c r="R23" s="19">
        <f t="shared" si="8"/>
        <v>3080</v>
      </c>
      <c r="S23" s="19">
        <f t="shared" si="9"/>
        <v>2800</v>
      </c>
      <c r="T23" s="19">
        <f t="shared" si="10"/>
        <v>280</v>
      </c>
      <c r="U23" s="20">
        <f t="shared" si="11"/>
        <v>1.1000000000000001</v>
      </c>
    </row>
    <row r="24" spans="1:21" s="5" customFormat="1" ht="18" x14ac:dyDescent="0.35">
      <c r="A24" s="10" t="s">
        <v>26</v>
      </c>
      <c r="B24" s="14">
        <f>((((((B17)+(B18))+(B19))+(B20))+(B21))+(B22))+(B23)</f>
        <v>2460</v>
      </c>
      <c r="C24" s="14">
        <f>((((((C17)+(C18))+(C19))+(C20))+(C21))+(C22))+(C23)</f>
        <v>2950</v>
      </c>
      <c r="D24" s="14">
        <f t="shared" si="0"/>
        <v>-490</v>
      </c>
      <c r="E24" s="15">
        <f t="shared" si="1"/>
        <v>0.83389830508474572</v>
      </c>
      <c r="F24" s="14">
        <f>((((((F17)+(F18))+(F19))+(F20))+(F21))+(F22))+(F23)</f>
        <v>3770</v>
      </c>
      <c r="G24" s="14">
        <f>((((((G17)+(G18))+(G19))+(G20))+(G21))+(G22))+(G23)</f>
        <v>2950</v>
      </c>
      <c r="H24" s="14">
        <f t="shared" si="2"/>
        <v>820</v>
      </c>
      <c r="I24" s="15">
        <f t="shared" si="3"/>
        <v>1.2779661016949153</v>
      </c>
      <c r="J24" s="14">
        <f>((((((J17)+(J18))+(J19))+(J20))+(J21))+(J22))+(J23)</f>
        <v>4370</v>
      </c>
      <c r="K24" s="14">
        <f>((((((K17)+(K18))+(K19))+(K20))+(K21))+(K22))+(K23)</f>
        <v>4800</v>
      </c>
      <c r="L24" s="14">
        <f t="shared" si="4"/>
        <v>-430</v>
      </c>
      <c r="M24" s="15">
        <f t="shared" si="5"/>
        <v>0.91041666666666665</v>
      </c>
      <c r="N24" s="14">
        <f>((((((N17)+(N18))+(N19))+(N20))+(N21))+(N22))+(N23)</f>
        <v>0</v>
      </c>
      <c r="O24" s="14">
        <f>((((((O17)+(O18))+(O19))+(O20))+(O21))+(O22))+(O23)</f>
        <v>0</v>
      </c>
      <c r="P24" s="14">
        <f t="shared" si="6"/>
        <v>0</v>
      </c>
      <c r="Q24" s="15" t="str">
        <f t="shared" si="7"/>
        <v/>
      </c>
      <c r="R24" s="14">
        <f t="shared" si="8"/>
        <v>10600</v>
      </c>
      <c r="S24" s="14">
        <f t="shared" si="9"/>
        <v>10700</v>
      </c>
      <c r="T24" s="14">
        <f t="shared" si="10"/>
        <v>-100</v>
      </c>
      <c r="U24" s="15">
        <f t="shared" si="11"/>
        <v>0.99065420560747663</v>
      </c>
    </row>
    <row r="25" spans="1:21" s="5" customFormat="1" ht="18" x14ac:dyDescent="0.35">
      <c r="A25" s="10" t="s">
        <v>27</v>
      </c>
      <c r="B25" s="19">
        <f>70.38</f>
        <v>70.38</v>
      </c>
      <c r="C25" s="19">
        <f>120</f>
        <v>120</v>
      </c>
      <c r="D25" s="19">
        <f t="shared" si="0"/>
        <v>-49.620000000000005</v>
      </c>
      <c r="E25" s="20">
        <f t="shared" si="1"/>
        <v>0.58649999999999991</v>
      </c>
      <c r="F25" s="21"/>
      <c r="G25" s="19">
        <f>0</f>
        <v>0</v>
      </c>
      <c r="H25" s="19">
        <f t="shared" si="2"/>
        <v>0</v>
      </c>
      <c r="I25" s="20" t="str">
        <f t="shared" si="3"/>
        <v/>
      </c>
      <c r="J25" s="21"/>
      <c r="K25" s="19">
        <f>0</f>
        <v>0</v>
      </c>
      <c r="L25" s="19">
        <f t="shared" si="4"/>
        <v>0</v>
      </c>
      <c r="M25" s="20" t="str">
        <f t="shared" si="5"/>
        <v/>
      </c>
      <c r="N25" s="21"/>
      <c r="O25" s="19">
        <f>0</f>
        <v>0</v>
      </c>
      <c r="P25" s="19">
        <f t="shared" si="6"/>
        <v>0</v>
      </c>
      <c r="Q25" s="20" t="str">
        <f t="shared" si="7"/>
        <v/>
      </c>
      <c r="R25" s="19">
        <f t="shared" si="8"/>
        <v>70.38</v>
      </c>
      <c r="S25" s="19">
        <f t="shared" si="9"/>
        <v>120</v>
      </c>
      <c r="T25" s="19">
        <f t="shared" si="10"/>
        <v>-49.620000000000005</v>
      </c>
      <c r="U25" s="20">
        <f t="shared" si="11"/>
        <v>0.58649999999999991</v>
      </c>
    </row>
    <row r="26" spans="1:21" s="5" customFormat="1" ht="18" x14ac:dyDescent="0.35">
      <c r="A26" s="10" t="s">
        <v>28</v>
      </c>
      <c r="B26" s="19">
        <f>22</f>
        <v>22</v>
      </c>
      <c r="C26" s="21"/>
      <c r="D26" s="19">
        <f t="shared" si="0"/>
        <v>22</v>
      </c>
      <c r="E26" s="20" t="str">
        <f t="shared" si="1"/>
        <v/>
      </c>
      <c r="F26" s="19">
        <f>15</f>
        <v>15</v>
      </c>
      <c r="G26" s="21"/>
      <c r="H26" s="19">
        <f t="shared" si="2"/>
        <v>15</v>
      </c>
      <c r="I26" s="20" t="str">
        <f t="shared" si="3"/>
        <v/>
      </c>
      <c r="J26" s="19">
        <f>25</f>
        <v>25</v>
      </c>
      <c r="K26" s="21"/>
      <c r="L26" s="19">
        <f t="shared" si="4"/>
        <v>25</v>
      </c>
      <c r="M26" s="20" t="str">
        <f t="shared" si="5"/>
        <v/>
      </c>
      <c r="N26" s="21"/>
      <c r="O26" s="21"/>
      <c r="P26" s="19">
        <f t="shared" si="6"/>
        <v>0</v>
      </c>
      <c r="Q26" s="20" t="str">
        <f t="shared" si="7"/>
        <v/>
      </c>
      <c r="R26" s="19">
        <f t="shared" si="8"/>
        <v>62</v>
      </c>
      <c r="S26" s="19">
        <f t="shared" si="9"/>
        <v>0</v>
      </c>
      <c r="T26" s="19">
        <f t="shared" si="10"/>
        <v>62</v>
      </c>
      <c r="U26" s="20" t="str">
        <f t="shared" si="11"/>
        <v/>
      </c>
    </row>
    <row r="27" spans="1:21" s="5" customFormat="1" ht="18" x14ac:dyDescent="0.35">
      <c r="A27" s="10" t="s">
        <v>29</v>
      </c>
      <c r="B27" s="21"/>
      <c r="C27" s="19">
        <f>1500</f>
        <v>1500</v>
      </c>
      <c r="D27" s="19">
        <f t="shared" si="0"/>
        <v>-1500</v>
      </c>
      <c r="E27" s="20">
        <f t="shared" si="1"/>
        <v>0</v>
      </c>
      <c r="F27" s="21"/>
      <c r="G27" s="19">
        <f>0</f>
        <v>0</v>
      </c>
      <c r="H27" s="19">
        <f t="shared" si="2"/>
        <v>0</v>
      </c>
      <c r="I27" s="20" t="str">
        <f t="shared" si="3"/>
        <v/>
      </c>
      <c r="J27" s="21"/>
      <c r="K27" s="19">
        <f>0</f>
        <v>0</v>
      </c>
      <c r="L27" s="19">
        <f t="shared" si="4"/>
        <v>0</v>
      </c>
      <c r="M27" s="20" t="str">
        <f t="shared" si="5"/>
        <v/>
      </c>
      <c r="N27" s="21"/>
      <c r="O27" s="19">
        <f>0</f>
        <v>0</v>
      </c>
      <c r="P27" s="19">
        <f t="shared" si="6"/>
        <v>0</v>
      </c>
      <c r="Q27" s="20" t="str">
        <f t="shared" si="7"/>
        <v/>
      </c>
      <c r="R27" s="19">
        <f t="shared" si="8"/>
        <v>0</v>
      </c>
      <c r="S27" s="19">
        <f t="shared" si="9"/>
        <v>1500</v>
      </c>
      <c r="T27" s="19">
        <f t="shared" si="10"/>
        <v>-1500</v>
      </c>
      <c r="U27" s="20">
        <f t="shared" si="11"/>
        <v>0</v>
      </c>
    </row>
    <row r="28" spans="1:21" s="5" customFormat="1" ht="18" x14ac:dyDescent="0.35">
      <c r="A28" s="10" t="s">
        <v>30</v>
      </c>
      <c r="B28" s="21"/>
      <c r="C28" s="19">
        <f>21526.21</f>
        <v>21526.21</v>
      </c>
      <c r="D28" s="19">
        <f t="shared" si="0"/>
        <v>-21526.21</v>
      </c>
      <c r="E28" s="20">
        <f t="shared" si="1"/>
        <v>0</v>
      </c>
      <c r="F28" s="21"/>
      <c r="G28" s="19">
        <f>0</f>
        <v>0</v>
      </c>
      <c r="H28" s="19">
        <f t="shared" si="2"/>
        <v>0</v>
      </c>
      <c r="I28" s="20" t="str">
        <f t="shared" si="3"/>
        <v/>
      </c>
      <c r="J28" s="21"/>
      <c r="K28" s="19">
        <f>0</f>
        <v>0</v>
      </c>
      <c r="L28" s="19">
        <f t="shared" si="4"/>
        <v>0</v>
      </c>
      <c r="M28" s="20" t="str">
        <f t="shared" si="5"/>
        <v/>
      </c>
      <c r="N28" s="21"/>
      <c r="O28" s="19">
        <f>0</f>
        <v>0</v>
      </c>
      <c r="P28" s="19">
        <f t="shared" si="6"/>
        <v>0</v>
      </c>
      <c r="Q28" s="20" t="str">
        <f t="shared" si="7"/>
        <v/>
      </c>
      <c r="R28" s="19">
        <f t="shared" si="8"/>
        <v>0</v>
      </c>
      <c r="S28" s="19">
        <f t="shared" si="9"/>
        <v>21526.21</v>
      </c>
      <c r="T28" s="19">
        <f t="shared" si="10"/>
        <v>-21526.21</v>
      </c>
      <c r="U28" s="20">
        <f t="shared" si="11"/>
        <v>0</v>
      </c>
    </row>
    <row r="29" spans="1:21" s="5" customFormat="1" ht="18" x14ac:dyDescent="0.35">
      <c r="A29" s="10" t="s">
        <v>31</v>
      </c>
      <c r="B29" s="19">
        <f>19.33</f>
        <v>19.329999999999998</v>
      </c>
      <c r="C29" s="21"/>
      <c r="D29" s="19">
        <f t="shared" si="0"/>
        <v>19.329999999999998</v>
      </c>
      <c r="E29" s="20" t="str">
        <f t="shared" si="1"/>
        <v/>
      </c>
      <c r="F29" s="21"/>
      <c r="G29" s="21"/>
      <c r="H29" s="19">
        <f t="shared" si="2"/>
        <v>0</v>
      </c>
      <c r="I29" s="20" t="str">
        <f t="shared" si="3"/>
        <v/>
      </c>
      <c r="J29" s="21"/>
      <c r="K29" s="21"/>
      <c r="L29" s="19">
        <f t="shared" si="4"/>
        <v>0</v>
      </c>
      <c r="M29" s="20" t="str">
        <f t="shared" si="5"/>
        <v/>
      </c>
      <c r="N29" s="21"/>
      <c r="O29" s="21"/>
      <c r="P29" s="19">
        <f t="shared" si="6"/>
        <v>0</v>
      </c>
      <c r="Q29" s="20" t="str">
        <f t="shared" si="7"/>
        <v/>
      </c>
      <c r="R29" s="19">
        <f t="shared" si="8"/>
        <v>19.329999999999998</v>
      </c>
      <c r="S29" s="19">
        <f t="shared" si="9"/>
        <v>0</v>
      </c>
      <c r="T29" s="19">
        <f t="shared" si="10"/>
        <v>19.329999999999998</v>
      </c>
      <c r="U29" s="20" t="str">
        <f t="shared" si="11"/>
        <v/>
      </c>
    </row>
    <row r="30" spans="1:21" s="5" customFormat="1" ht="18" x14ac:dyDescent="0.35">
      <c r="A30" s="10" t="s">
        <v>32</v>
      </c>
      <c r="B30" s="12">
        <f>-83.26</f>
        <v>-83.26</v>
      </c>
      <c r="C30" s="11"/>
      <c r="D30" s="12">
        <f t="shared" si="0"/>
        <v>-83.26</v>
      </c>
      <c r="E30" s="13" t="str">
        <f t="shared" si="1"/>
        <v/>
      </c>
      <c r="F30" s="12">
        <f>-53.26</f>
        <v>-53.26</v>
      </c>
      <c r="G30" s="11"/>
      <c r="H30" s="12">
        <f t="shared" si="2"/>
        <v>-53.26</v>
      </c>
      <c r="I30" s="13" t="str">
        <f t="shared" si="3"/>
        <v/>
      </c>
      <c r="J30" s="12">
        <f>-180.8</f>
        <v>-180.8</v>
      </c>
      <c r="K30" s="11"/>
      <c r="L30" s="12">
        <f t="shared" si="4"/>
        <v>-180.8</v>
      </c>
      <c r="M30" s="13" t="str">
        <f t="shared" si="5"/>
        <v/>
      </c>
      <c r="N30" s="11"/>
      <c r="O30" s="11"/>
      <c r="P30" s="12">
        <f t="shared" si="6"/>
        <v>0</v>
      </c>
      <c r="Q30" s="13" t="str">
        <f t="shared" si="7"/>
        <v/>
      </c>
      <c r="R30" s="12">
        <f t="shared" si="8"/>
        <v>-317.32000000000005</v>
      </c>
      <c r="S30" s="12">
        <f t="shared" si="9"/>
        <v>0</v>
      </c>
      <c r="T30" s="12">
        <f t="shared" si="10"/>
        <v>-317.32000000000005</v>
      </c>
      <c r="U30" s="13" t="str">
        <f t="shared" si="11"/>
        <v/>
      </c>
    </row>
    <row r="31" spans="1:21" s="5" customFormat="1" ht="18" x14ac:dyDescent="0.35">
      <c r="A31" s="10" t="s">
        <v>33</v>
      </c>
      <c r="B31" s="14">
        <f>(((((((((B8)+(B9))+(B16))+(B24))+(B25))+(B26))+(B27))+(B28))+(B29))+(B30)</f>
        <v>11838.449999999999</v>
      </c>
      <c r="C31" s="14">
        <f>(((((((((C8)+(C9))+(C16))+(C24))+(C25))+(C26))+(C27))+(C28))+(C29))+(C30)</f>
        <v>36286.21</v>
      </c>
      <c r="D31" s="14">
        <f t="shared" si="0"/>
        <v>-24447.760000000002</v>
      </c>
      <c r="E31" s="15">
        <f t="shared" si="1"/>
        <v>0.32625203899773492</v>
      </c>
      <c r="F31" s="14">
        <f>(((((((((F8)+(F9))+(F16))+(F24))+(F25))+(F26))+(F27))+(F28))+(F29))+(F30)</f>
        <v>4764.9699999999993</v>
      </c>
      <c r="G31" s="14">
        <f>(((((((((G8)+(G9))+(G16))+(G24))+(G25))+(G26))+(G27))+(G28))+(G29))+(G30)</f>
        <v>2950</v>
      </c>
      <c r="H31" s="14">
        <f t="shared" si="2"/>
        <v>1814.9699999999993</v>
      </c>
      <c r="I31" s="15">
        <f t="shared" si="3"/>
        <v>1.61524406779661</v>
      </c>
      <c r="J31" s="14">
        <f>(((((((((J8)+(J9))+(J16))+(J24))+(J25))+(J26))+(J27))+(J28))+(J29))+(J30)</f>
        <v>16004.2</v>
      </c>
      <c r="K31" s="14">
        <f>(((((((((K8)+(K9))+(K16))+(K24))+(K25))+(K26))+(K27))+(K28))+(K29))+(K30)</f>
        <v>14990</v>
      </c>
      <c r="L31" s="14">
        <f t="shared" si="4"/>
        <v>1014.2000000000007</v>
      </c>
      <c r="M31" s="15">
        <f t="shared" si="5"/>
        <v>1.0676584389593062</v>
      </c>
      <c r="N31" s="14">
        <f>(((((((((N8)+(N9))+(N16))+(N24))+(N25))+(N26))+(N27))+(N28))+(N29))+(N30)</f>
        <v>785.55</v>
      </c>
      <c r="O31" s="14">
        <f>(((((((((O8)+(O9))+(O16))+(O24))+(O25))+(O26))+(O27))+(O28))+(O29))+(O30)</f>
        <v>11120</v>
      </c>
      <c r="P31" s="14">
        <f t="shared" si="6"/>
        <v>-10334.450000000001</v>
      </c>
      <c r="Q31" s="15">
        <f t="shared" si="7"/>
        <v>7.0642985611510792E-2</v>
      </c>
      <c r="R31" s="14">
        <f t="shared" si="8"/>
        <v>33393.17</v>
      </c>
      <c r="S31" s="14">
        <f t="shared" si="9"/>
        <v>65346.21</v>
      </c>
      <c r="T31" s="14">
        <f t="shared" si="10"/>
        <v>-31953.040000000001</v>
      </c>
      <c r="U31" s="15">
        <f t="shared" si="11"/>
        <v>0.51101923126069593</v>
      </c>
    </row>
    <row r="32" spans="1:21" s="5" customFormat="1" ht="18" x14ac:dyDescent="0.35">
      <c r="A32" s="10" t="s">
        <v>34</v>
      </c>
      <c r="B32" s="14">
        <f>(B31)-(0)</f>
        <v>11838.449999999999</v>
      </c>
      <c r="C32" s="14">
        <f>(C31)-(0)</f>
        <v>36286.21</v>
      </c>
      <c r="D32" s="14">
        <f t="shared" si="0"/>
        <v>-24447.760000000002</v>
      </c>
      <c r="E32" s="15">
        <f t="shared" si="1"/>
        <v>0.32625203899773492</v>
      </c>
      <c r="F32" s="14">
        <f>(F31)-(0)</f>
        <v>4764.9699999999993</v>
      </c>
      <c r="G32" s="14">
        <f>(G31)-(0)</f>
        <v>2950</v>
      </c>
      <c r="H32" s="14">
        <f t="shared" si="2"/>
        <v>1814.9699999999993</v>
      </c>
      <c r="I32" s="15">
        <f t="shared" si="3"/>
        <v>1.61524406779661</v>
      </c>
      <c r="J32" s="14">
        <f>(J31)-(0)</f>
        <v>16004.2</v>
      </c>
      <c r="K32" s="14">
        <f>(K31)-(0)</f>
        <v>14990</v>
      </c>
      <c r="L32" s="14">
        <f t="shared" si="4"/>
        <v>1014.2000000000007</v>
      </c>
      <c r="M32" s="15">
        <f t="shared" si="5"/>
        <v>1.0676584389593062</v>
      </c>
      <c r="N32" s="14">
        <f>(N31)-(0)</f>
        <v>785.55</v>
      </c>
      <c r="O32" s="14">
        <f>(O31)-(0)</f>
        <v>11120</v>
      </c>
      <c r="P32" s="14">
        <f t="shared" si="6"/>
        <v>-10334.450000000001</v>
      </c>
      <c r="Q32" s="15">
        <f t="shared" si="7"/>
        <v>7.0642985611510792E-2</v>
      </c>
      <c r="R32" s="14">
        <f t="shared" si="8"/>
        <v>33393.17</v>
      </c>
      <c r="S32" s="14">
        <f t="shared" si="9"/>
        <v>65346.21</v>
      </c>
      <c r="T32" s="14">
        <f t="shared" si="10"/>
        <v>-31953.040000000001</v>
      </c>
      <c r="U32" s="15">
        <f t="shared" si="11"/>
        <v>0.51101923126069593</v>
      </c>
    </row>
    <row r="33" spans="1:21" s="5" customFormat="1" ht="18" x14ac:dyDescent="0.35">
      <c r="A33" s="10" t="s">
        <v>35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s="5" customFormat="1" ht="18" x14ac:dyDescent="0.35">
      <c r="A34" s="10" t="s">
        <v>36</v>
      </c>
      <c r="B34" s="19">
        <f>160.76</f>
        <v>160.76</v>
      </c>
      <c r="C34" s="19">
        <f>1000</f>
        <v>1000</v>
      </c>
      <c r="D34" s="19">
        <f t="shared" ref="D34:D65" si="12">(B34)-(C34)</f>
        <v>-839.24</v>
      </c>
      <c r="E34" s="20">
        <f t="shared" ref="E34:E65" si="13">IF(C34=0,"",(B34)/(C34))</f>
        <v>0.16075999999999999</v>
      </c>
      <c r="F34" s="19">
        <f>1186.85</f>
        <v>1186.8499999999999</v>
      </c>
      <c r="G34" s="19">
        <f>1000</f>
        <v>1000</v>
      </c>
      <c r="H34" s="19">
        <f t="shared" ref="H34:H65" si="14">(F34)-(G34)</f>
        <v>186.84999999999991</v>
      </c>
      <c r="I34" s="20">
        <f t="shared" ref="I34:I65" si="15">IF(G34=0,"",(F34)/(G34))</f>
        <v>1.18685</v>
      </c>
      <c r="J34" s="19">
        <f>1301.92</f>
        <v>1301.92</v>
      </c>
      <c r="K34" s="19">
        <f>1000</f>
        <v>1000</v>
      </c>
      <c r="L34" s="19">
        <f t="shared" ref="L34:L65" si="16">(J34)-(K34)</f>
        <v>301.92000000000007</v>
      </c>
      <c r="M34" s="20">
        <f t="shared" ref="M34:M65" si="17">IF(K34=0,"",(J34)/(K34))</f>
        <v>1.30192</v>
      </c>
      <c r="N34" s="21"/>
      <c r="O34" s="19">
        <f>1000</f>
        <v>1000</v>
      </c>
      <c r="P34" s="19">
        <f t="shared" ref="P34:P65" si="18">(N34)-(O34)</f>
        <v>-1000</v>
      </c>
      <c r="Q34" s="20">
        <f t="shared" ref="Q34:Q65" si="19">IF(O34=0,"",(N34)/(O34))</f>
        <v>0</v>
      </c>
      <c r="R34" s="19">
        <f t="shared" ref="R34:R65" si="20">(((B34)+(F34))+(J34))+(N34)</f>
        <v>2649.5299999999997</v>
      </c>
      <c r="S34" s="19">
        <f t="shared" ref="S34:S65" si="21">(((C34)+(G34))+(K34))+(O34)</f>
        <v>4000</v>
      </c>
      <c r="T34" s="19">
        <f t="shared" ref="T34:T65" si="22">(R34)-(S34)</f>
        <v>-1350.4700000000003</v>
      </c>
      <c r="U34" s="20">
        <f t="shared" ref="U34:U65" si="23">IF(S34=0,"",(R34)/(S34))</f>
        <v>0.66238249999999999</v>
      </c>
    </row>
    <row r="35" spans="1:21" s="5" customFormat="1" ht="18" x14ac:dyDescent="0.35">
      <c r="A35" s="10" t="s">
        <v>37</v>
      </c>
      <c r="B35" s="21"/>
      <c r="C35" s="21"/>
      <c r="D35" s="19">
        <f t="shared" si="12"/>
        <v>0</v>
      </c>
      <c r="E35" s="20" t="str">
        <f t="shared" si="13"/>
        <v/>
      </c>
      <c r="F35" s="21"/>
      <c r="G35" s="21"/>
      <c r="H35" s="19">
        <f t="shared" si="14"/>
        <v>0</v>
      </c>
      <c r="I35" s="20" t="str">
        <f t="shared" si="15"/>
        <v/>
      </c>
      <c r="J35" s="21"/>
      <c r="K35" s="21"/>
      <c r="L35" s="19">
        <f t="shared" si="16"/>
        <v>0</v>
      </c>
      <c r="M35" s="20" t="str">
        <f t="shared" si="17"/>
        <v/>
      </c>
      <c r="N35" s="21"/>
      <c r="O35" s="21"/>
      <c r="P35" s="19">
        <f t="shared" si="18"/>
        <v>0</v>
      </c>
      <c r="Q35" s="20" t="str">
        <f t="shared" si="19"/>
        <v/>
      </c>
      <c r="R35" s="19">
        <f t="shared" si="20"/>
        <v>0</v>
      </c>
      <c r="S35" s="19">
        <f t="shared" si="21"/>
        <v>0</v>
      </c>
      <c r="T35" s="19">
        <f t="shared" si="22"/>
        <v>0</v>
      </c>
      <c r="U35" s="20" t="str">
        <f t="shared" si="23"/>
        <v/>
      </c>
    </row>
    <row r="36" spans="1:21" s="5" customFormat="1" ht="18" x14ac:dyDescent="0.35">
      <c r="A36" s="10" t="s">
        <v>38</v>
      </c>
      <c r="B36" s="21"/>
      <c r="C36" s="19">
        <f>125</f>
        <v>125</v>
      </c>
      <c r="D36" s="19">
        <f t="shared" si="12"/>
        <v>-125</v>
      </c>
      <c r="E36" s="20">
        <f t="shared" si="13"/>
        <v>0</v>
      </c>
      <c r="F36" s="21"/>
      <c r="G36" s="19">
        <f>125</f>
        <v>125</v>
      </c>
      <c r="H36" s="19">
        <f t="shared" si="14"/>
        <v>-125</v>
      </c>
      <c r="I36" s="20">
        <f t="shared" si="15"/>
        <v>0</v>
      </c>
      <c r="J36" s="21"/>
      <c r="K36" s="19">
        <f>125</f>
        <v>125</v>
      </c>
      <c r="L36" s="19">
        <f t="shared" si="16"/>
        <v>-125</v>
      </c>
      <c r="M36" s="20">
        <f t="shared" si="17"/>
        <v>0</v>
      </c>
      <c r="N36" s="21"/>
      <c r="O36" s="19">
        <f>125</f>
        <v>125</v>
      </c>
      <c r="P36" s="19">
        <f t="shared" si="18"/>
        <v>-125</v>
      </c>
      <c r="Q36" s="20">
        <f t="shared" si="19"/>
        <v>0</v>
      </c>
      <c r="R36" s="19">
        <f t="shared" si="20"/>
        <v>0</v>
      </c>
      <c r="S36" s="19">
        <f t="shared" si="21"/>
        <v>500</v>
      </c>
      <c r="T36" s="19">
        <f t="shared" si="22"/>
        <v>-500</v>
      </c>
      <c r="U36" s="20">
        <f t="shared" si="23"/>
        <v>0</v>
      </c>
    </row>
    <row r="37" spans="1:21" s="5" customFormat="1" ht="18" x14ac:dyDescent="0.35">
      <c r="A37" s="10" t="s">
        <v>39</v>
      </c>
      <c r="B37" s="21"/>
      <c r="C37" s="19">
        <f>125</f>
        <v>125</v>
      </c>
      <c r="D37" s="19">
        <f t="shared" si="12"/>
        <v>-125</v>
      </c>
      <c r="E37" s="20">
        <f t="shared" si="13"/>
        <v>0</v>
      </c>
      <c r="F37" s="21"/>
      <c r="G37" s="19">
        <f>125</f>
        <v>125</v>
      </c>
      <c r="H37" s="19">
        <f t="shared" si="14"/>
        <v>-125</v>
      </c>
      <c r="I37" s="20">
        <f t="shared" si="15"/>
        <v>0</v>
      </c>
      <c r="J37" s="21"/>
      <c r="K37" s="19">
        <f>125</f>
        <v>125</v>
      </c>
      <c r="L37" s="19">
        <f t="shared" si="16"/>
        <v>-125</v>
      </c>
      <c r="M37" s="20">
        <f t="shared" si="17"/>
        <v>0</v>
      </c>
      <c r="N37" s="21"/>
      <c r="O37" s="19">
        <f>125</f>
        <v>125</v>
      </c>
      <c r="P37" s="19">
        <f t="shared" si="18"/>
        <v>-125</v>
      </c>
      <c r="Q37" s="20">
        <f t="shared" si="19"/>
        <v>0</v>
      </c>
      <c r="R37" s="19">
        <f t="shared" si="20"/>
        <v>0</v>
      </c>
      <c r="S37" s="19">
        <f t="shared" si="21"/>
        <v>500</v>
      </c>
      <c r="T37" s="19">
        <f t="shared" si="22"/>
        <v>-500</v>
      </c>
      <c r="U37" s="20">
        <f t="shared" si="23"/>
        <v>0</v>
      </c>
    </row>
    <row r="38" spans="1:21" s="5" customFormat="1" ht="18" x14ac:dyDescent="0.35">
      <c r="A38" s="10" t="s">
        <v>40</v>
      </c>
      <c r="B38" s="21"/>
      <c r="C38" s="19">
        <f>125</f>
        <v>125</v>
      </c>
      <c r="D38" s="19">
        <f t="shared" si="12"/>
        <v>-125</v>
      </c>
      <c r="E38" s="20">
        <f t="shared" si="13"/>
        <v>0</v>
      </c>
      <c r="F38" s="21"/>
      <c r="G38" s="19">
        <f>125</f>
        <v>125</v>
      </c>
      <c r="H38" s="19">
        <f t="shared" si="14"/>
        <v>-125</v>
      </c>
      <c r="I38" s="20">
        <f t="shared" si="15"/>
        <v>0</v>
      </c>
      <c r="J38" s="21"/>
      <c r="K38" s="19">
        <f>125</f>
        <v>125</v>
      </c>
      <c r="L38" s="19">
        <f t="shared" si="16"/>
        <v>-125</v>
      </c>
      <c r="M38" s="20">
        <f t="shared" si="17"/>
        <v>0</v>
      </c>
      <c r="N38" s="21"/>
      <c r="O38" s="19">
        <f>125</f>
        <v>125</v>
      </c>
      <c r="P38" s="19">
        <f t="shared" si="18"/>
        <v>-125</v>
      </c>
      <c r="Q38" s="20">
        <f t="shared" si="19"/>
        <v>0</v>
      </c>
      <c r="R38" s="19">
        <f t="shared" si="20"/>
        <v>0</v>
      </c>
      <c r="S38" s="19">
        <f t="shared" si="21"/>
        <v>500</v>
      </c>
      <c r="T38" s="19">
        <f t="shared" si="22"/>
        <v>-500</v>
      </c>
      <c r="U38" s="20">
        <f t="shared" si="23"/>
        <v>0</v>
      </c>
    </row>
    <row r="39" spans="1:21" s="5" customFormat="1" ht="18" x14ac:dyDescent="0.35">
      <c r="A39" s="10" t="s">
        <v>41</v>
      </c>
      <c r="B39" s="21"/>
      <c r="C39" s="19">
        <f>125</f>
        <v>125</v>
      </c>
      <c r="D39" s="19">
        <f t="shared" si="12"/>
        <v>-125</v>
      </c>
      <c r="E39" s="20">
        <f t="shared" si="13"/>
        <v>0</v>
      </c>
      <c r="F39" s="21"/>
      <c r="G39" s="19">
        <f>125</f>
        <v>125</v>
      </c>
      <c r="H39" s="19">
        <f t="shared" si="14"/>
        <v>-125</v>
      </c>
      <c r="I39" s="20">
        <f t="shared" si="15"/>
        <v>0</v>
      </c>
      <c r="J39" s="19">
        <f>122.22</f>
        <v>122.22</v>
      </c>
      <c r="K39" s="19">
        <f>125</f>
        <v>125</v>
      </c>
      <c r="L39" s="19">
        <f t="shared" si="16"/>
        <v>-2.7800000000000011</v>
      </c>
      <c r="M39" s="20">
        <f t="shared" si="17"/>
        <v>0.97775999999999996</v>
      </c>
      <c r="N39" s="21"/>
      <c r="O39" s="19">
        <f>125</f>
        <v>125</v>
      </c>
      <c r="P39" s="19">
        <f t="shared" si="18"/>
        <v>-125</v>
      </c>
      <c r="Q39" s="20">
        <f t="shared" si="19"/>
        <v>0</v>
      </c>
      <c r="R39" s="19">
        <f t="shared" si="20"/>
        <v>122.22</v>
      </c>
      <c r="S39" s="19">
        <f t="shared" si="21"/>
        <v>500</v>
      </c>
      <c r="T39" s="19">
        <f t="shared" si="22"/>
        <v>-377.78</v>
      </c>
      <c r="U39" s="20">
        <f t="shared" si="23"/>
        <v>0.24443999999999999</v>
      </c>
    </row>
    <row r="40" spans="1:21" s="5" customFormat="1" ht="18" x14ac:dyDescent="0.35">
      <c r="A40" s="10" t="s">
        <v>42</v>
      </c>
      <c r="B40" s="19">
        <f>125</f>
        <v>125</v>
      </c>
      <c r="C40" s="19">
        <f>125</f>
        <v>125</v>
      </c>
      <c r="D40" s="19">
        <f t="shared" si="12"/>
        <v>0</v>
      </c>
      <c r="E40" s="20">
        <f t="shared" si="13"/>
        <v>1</v>
      </c>
      <c r="F40" s="19">
        <f>55</f>
        <v>55</v>
      </c>
      <c r="G40" s="19">
        <f>125</f>
        <v>125</v>
      </c>
      <c r="H40" s="19">
        <f t="shared" si="14"/>
        <v>-70</v>
      </c>
      <c r="I40" s="20">
        <f t="shared" si="15"/>
        <v>0.44</v>
      </c>
      <c r="J40" s="19">
        <f>195</f>
        <v>195</v>
      </c>
      <c r="K40" s="19">
        <f>125</f>
        <v>125</v>
      </c>
      <c r="L40" s="19">
        <f t="shared" si="16"/>
        <v>70</v>
      </c>
      <c r="M40" s="20">
        <f t="shared" si="17"/>
        <v>1.56</v>
      </c>
      <c r="N40" s="21"/>
      <c r="O40" s="19">
        <f>125</f>
        <v>125</v>
      </c>
      <c r="P40" s="19">
        <f t="shared" si="18"/>
        <v>-125</v>
      </c>
      <c r="Q40" s="20">
        <f t="shared" si="19"/>
        <v>0</v>
      </c>
      <c r="R40" s="19">
        <f t="shared" si="20"/>
        <v>375</v>
      </c>
      <c r="S40" s="19">
        <f t="shared" si="21"/>
        <v>500</v>
      </c>
      <c r="T40" s="19">
        <f t="shared" si="22"/>
        <v>-125</v>
      </c>
      <c r="U40" s="20">
        <f t="shared" si="23"/>
        <v>0.75</v>
      </c>
    </row>
    <row r="41" spans="1:21" s="5" customFormat="1" ht="18" x14ac:dyDescent="0.35">
      <c r="A41" s="10" t="s">
        <v>43</v>
      </c>
      <c r="B41" s="19">
        <f>500</f>
        <v>500</v>
      </c>
      <c r="C41" s="19">
        <f>125</f>
        <v>125</v>
      </c>
      <c r="D41" s="19">
        <f t="shared" si="12"/>
        <v>375</v>
      </c>
      <c r="E41" s="20">
        <f t="shared" si="13"/>
        <v>4</v>
      </c>
      <c r="F41" s="21"/>
      <c r="G41" s="19">
        <f>125</f>
        <v>125</v>
      </c>
      <c r="H41" s="19">
        <f t="shared" si="14"/>
        <v>-125</v>
      </c>
      <c r="I41" s="20">
        <f t="shared" si="15"/>
        <v>0</v>
      </c>
      <c r="J41" s="21"/>
      <c r="K41" s="19">
        <f>125</f>
        <v>125</v>
      </c>
      <c r="L41" s="19">
        <f t="shared" si="16"/>
        <v>-125</v>
      </c>
      <c r="M41" s="20">
        <f t="shared" si="17"/>
        <v>0</v>
      </c>
      <c r="N41" s="21"/>
      <c r="O41" s="19">
        <f>125</f>
        <v>125</v>
      </c>
      <c r="P41" s="19">
        <f t="shared" si="18"/>
        <v>-125</v>
      </c>
      <c r="Q41" s="20">
        <f t="shared" si="19"/>
        <v>0</v>
      </c>
      <c r="R41" s="19">
        <f t="shared" si="20"/>
        <v>500</v>
      </c>
      <c r="S41" s="19">
        <f t="shared" si="21"/>
        <v>500</v>
      </c>
      <c r="T41" s="19">
        <f t="shared" si="22"/>
        <v>0</v>
      </c>
      <c r="U41" s="20">
        <f t="shared" si="23"/>
        <v>1</v>
      </c>
    </row>
    <row r="42" spans="1:21" s="5" customFormat="1" ht="18" x14ac:dyDescent="0.35">
      <c r="A42" s="10" t="s">
        <v>44</v>
      </c>
      <c r="B42" s="21"/>
      <c r="C42" s="19">
        <f>125</f>
        <v>125</v>
      </c>
      <c r="D42" s="19">
        <f t="shared" si="12"/>
        <v>-125</v>
      </c>
      <c r="E42" s="20">
        <f t="shared" si="13"/>
        <v>0</v>
      </c>
      <c r="F42" s="21"/>
      <c r="G42" s="19">
        <f>125</f>
        <v>125</v>
      </c>
      <c r="H42" s="19">
        <f t="shared" si="14"/>
        <v>-125</v>
      </c>
      <c r="I42" s="20">
        <f t="shared" si="15"/>
        <v>0</v>
      </c>
      <c r="J42" s="21"/>
      <c r="K42" s="19">
        <f>125</f>
        <v>125</v>
      </c>
      <c r="L42" s="19">
        <f t="shared" si="16"/>
        <v>-125</v>
      </c>
      <c r="M42" s="20">
        <f t="shared" si="17"/>
        <v>0</v>
      </c>
      <c r="N42" s="21"/>
      <c r="O42" s="19">
        <f>125</f>
        <v>125</v>
      </c>
      <c r="P42" s="19">
        <f t="shared" si="18"/>
        <v>-125</v>
      </c>
      <c r="Q42" s="20">
        <f t="shared" si="19"/>
        <v>0</v>
      </c>
      <c r="R42" s="19">
        <f t="shared" si="20"/>
        <v>0</v>
      </c>
      <c r="S42" s="19">
        <f t="shared" si="21"/>
        <v>500</v>
      </c>
      <c r="T42" s="19">
        <f t="shared" si="22"/>
        <v>-500</v>
      </c>
      <c r="U42" s="20">
        <f t="shared" si="23"/>
        <v>0</v>
      </c>
    </row>
    <row r="43" spans="1:21" s="5" customFormat="1" ht="18" x14ac:dyDescent="0.35">
      <c r="A43" s="10" t="s">
        <v>45</v>
      </c>
      <c r="B43" s="21"/>
      <c r="C43" s="19">
        <f>125</f>
        <v>125</v>
      </c>
      <c r="D43" s="19">
        <f t="shared" si="12"/>
        <v>-125</v>
      </c>
      <c r="E43" s="20">
        <f t="shared" si="13"/>
        <v>0</v>
      </c>
      <c r="F43" s="21"/>
      <c r="G43" s="19">
        <f>125</f>
        <v>125</v>
      </c>
      <c r="H43" s="19">
        <f t="shared" si="14"/>
        <v>-125</v>
      </c>
      <c r="I43" s="20">
        <f t="shared" si="15"/>
        <v>0</v>
      </c>
      <c r="J43" s="21"/>
      <c r="K43" s="19">
        <f>125</f>
        <v>125</v>
      </c>
      <c r="L43" s="19">
        <f t="shared" si="16"/>
        <v>-125</v>
      </c>
      <c r="M43" s="20">
        <f t="shared" si="17"/>
        <v>0</v>
      </c>
      <c r="N43" s="21"/>
      <c r="O43" s="19">
        <f>125</f>
        <v>125</v>
      </c>
      <c r="P43" s="19">
        <f t="shared" si="18"/>
        <v>-125</v>
      </c>
      <c r="Q43" s="20">
        <f t="shared" si="19"/>
        <v>0</v>
      </c>
      <c r="R43" s="19">
        <f t="shared" si="20"/>
        <v>0</v>
      </c>
      <c r="S43" s="19">
        <f t="shared" si="21"/>
        <v>500</v>
      </c>
      <c r="T43" s="19">
        <f t="shared" si="22"/>
        <v>-500</v>
      </c>
      <c r="U43" s="20">
        <f t="shared" si="23"/>
        <v>0</v>
      </c>
    </row>
    <row r="44" spans="1:21" s="5" customFormat="1" ht="18" x14ac:dyDescent="0.35">
      <c r="A44" s="10" t="s">
        <v>46</v>
      </c>
      <c r="B44" s="12">
        <f>499.5</f>
        <v>499.5</v>
      </c>
      <c r="C44" s="12">
        <f>125</f>
        <v>125</v>
      </c>
      <c r="D44" s="12">
        <f t="shared" si="12"/>
        <v>374.5</v>
      </c>
      <c r="E44" s="13">
        <f t="shared" si="13"/>
        <v>3.996</v>
      </c>
      <c r="F44" s="11"/>
      <c r="G44" s="12">
        <f>125</f>
        <v>125</v>
      </c>
      <c r="H44" s="12">
        <f t="shared" si="14"/>
        <v>-125</v>
      </c>
      <c r="I44" s="13">
        <f t="shared" si="15"/>
        <v>0</v>
      </c>
      <c r="J44" s="11"/>
      <c r="K44" s="12">
        <f>125</f>
        <v>125</v>
      </c>
      <c r="L44" s="12">
        <f t="shared" si="16"/>
        <v>-125</v>
      </c>
      <c r="M44" s="13">
        <f t="shared" si="17"/>
        <v>0</v>
      </c>
      <c r="N44" s="11"/>
      <c r="O44" s="12">
        <f>125</f>
        <v>125</v>
      </c>
      <c r="P44" s="12">
        <f t="shared" si="18"/>
        <v>-125</v>
      </c>
      <c r="Q44" s="13">
        <f t="shared" si="19"/>
        <v>0</v>
      </c>
      <c r="R44" s="12">
        <f t="shared" si="20"/>
        <v>499.5</v>
      </c>
      <c r="S44" s="12">
        <f t="shared" si="21"/>
        <v>500</v>
      </c>
      <c r="T44" s="12">
        <f t="shared" si="22"/>
        <v>-0.5</v>
      </c>
      <c r="U44" s="13">
        <f t="shared" si="23"/>
        <v>0.999</v>
      </c>
    </row>
    <row r="45" spans="1:21" s="5" customFormat="1" ht="18" x14ac:dyDescent="0.35">
      <c r="A45" s="10" t="s">
        <v>47</v>
      </c>
      <c r="B45" s="14">
        <f>(((((((((B35)+(B36))+(B37))+(B38))+(B39))+(B40))+(B41))+(B42))+(B43))+(B44)</f>
        <v>1124.5</v>
      </c>
      <c r="C45" s="14">
        <f>(((((((((C35)+(C36))+(C37))+(C38))+(C39))+(C40))+(C41))+(C42))+(C43))+(C44)</f>
        <v>1125</v>
      </c>
      <c r="D45" s="14">
        <f t="shared" si="12"/>
        <v>-0.5</v>
      </c>
      <c r="E45" s="15">
        <f t="shared" si="13"/>
        <v>0.99955555555555553</v>
      </c>
      <c r="F45" s="14">
        <f>(((((((((F35)+(F36))+(F37))+(F38))+(F39))+(F40))+(F41))+(F42))+(F43))+(F44)</f>
        <v>55</v>
      </c>
      <c r="G45" s="14">
        <f>(((((((((G35)+(G36))+(G37))+(G38))+(G39))+(G40))+(G41))+(G42))+(G43))+(G44)</f>
        <v>1125</v>
      </c>
      <c r="H45" s="14">
        <f t="shared" si="14"/>
        <v>-1070</v>
      </c>
      <c r="I45" s="15">
        <f t="shared" si="15"/>
        <v>4.8888888888888891E-2</v>
      </c>
      <c r="J45" s="14">
        <f>(((((((((J35)+(J36))+(J37))+(J38))+(J39))+(J40))+(J41))+(J42))+(J43))+(J44)</f>
        <v>317.22000000000003</v>
      </c>
      <c r="K45" s="14">
        <f>(((((((((K35)+(K36))+(K37))+(K38))+(K39))+(K40))+(K41))+(K42))+(K43))+(K44)</f>
        <v>1125</v>
      </c>
      <c r="L45" s="14">
        <f t="shared" si="16"/>
        <v>-807.78</v>
      </c>
      <c r="M45" s="15">
        <f t="shared" si="17"/>
        <v>0.28197333333333335</v>
      </c>
      <c r="N45" s="14">
        <f>(((((((((N35)+(N36))+(N37))+(N38))+(N39))+(N40))+(N41))+(N42))+(N43))+(N44)</f>
        <v>0</v>
      </c>
      <c r="O45" s="14">
        <f>(((((((((O35)+(O36))+(O37))+(O38))+(O39))+(O40))+(O41))+(O42))+(O43))+(O44)</f>
        <v>1125</v>
      </c>
      <c r="P45" s="14">
        <f t="shared" si="18"/>
        <v>-1125</v>
      </c>
      <c r="Q45" s="15">
        <f t="shared" si="19"/>
        <v>0</v>
      </c>
      <c r="R45" s="14">
        <f t="shared" si="20"/>
        <v>1496.72</v>
      </c>
      <c r="S45" s="14">
        <f t="shared" si="21"/>
        <v>4500</v>
      </c>
      <c r="T45" s="14">
        <f t="shared" si="22"/>
        <v>-3003.2799999999997</v>
      </c>
      <c r="U45" s="15">
        <f t="shared" si="23"/>
        <v>0.33260444444444442</v>
      </c>
    </row>
    <row r="46" spans="1:21" s="5" customFormat="1" ht="18" x14ac:dyDescent="0.35">
      <c r="A46" s="10" t="s">
        <v>48</v>
      </c>
      <c r="B46" s="19">
        <f>127.5</f>
        <v>127.5</v>
      </c>
      <c r="C46" s="19">
        <f>125</f>
        <v>125</v>
      </c>
      <c r="D46" s="19">
        <f t="shared" si="12"/>
        <v>2.5</v>
      </c>
      <c r="E46" s="20">
        <f t="shared" si="13"/>
        <v>1.02</v>
      </c>
      <c r="F46" s="19">
        <f>66</f>
        <v>66</v>
      </c>
      <c r="G46" s="19">
        <f>125</f>
        <v>125</v>
      </c>
      <c r="H46" s="19">
        <f t="shared" si="14"/>
        <v>-59</v>
      </c>
      <c r="I46" s="20">
        <f t="shared" si="15"/>
        <v>0.52800000000000002</v>
      </c>
      <c r="J46" s="19">
        <f>113</f>
        <v>113</v>
      </c>
      <c r="K46" s="19">
        <f>125</f>
        <v>125</v>
      </c>
      <c r="L46" s="19">
        <f t="shared" si="16"/>
        <v>-12</v>
      </c>
      <c r="M46" s="20">
        <f t="shared" si="17"/>
        <v>0.90400000000000003</v>
      </c>
      <c r="N46" s="21"/>
      <c r="O46" s="19">
        <f>125</f>
        <v>125</v>
      </c>
      <c r="P46" s="19">
        <f t="shared" si="18"/>
        <v>-125</v>
      </c>
      <c r="Q46" s="20">
        <f t="shared" si="19"/>
        <v>0</v>
      </c>
      <c r="R46" s="19">
        <f t="shared" si="20"/>
        <v>306.5</v>
      </c>
      <c r="S46" s="19">
        <f t="shared" si="21"/>
        <v>500</v>
      </c>
      <c r="T46" s="19">
        <f t="shared" si="22"/>
        <v>-193.5</v>
      </c>
      <c r="U46" s="20">
        <f t="shared" si="23"/>
        <v>0.61299999999999999</v>
      </c>
    </row>
    <row r="47" spans="1:21" s="5" customFormat="1" ht="18" x14ac:dyDescent="0.35">
      <c r="A47" s="10" t="s">
        <v>49</v>
      </c>
      <c r="B47" s="21"/>
      <c r="C47" s="19">
        <f>300</f>
        <v>300</v>
      </c>
      <c r="D47" s="19">
        <f t="shared" si="12"/>
        <v>-300</v>
      </c>
      <c r="E47" s="20">
        <f t="shared" si="13"/>
        <v>0</v>
      </c>
      <c r="F47" s="21"/>
      <c r="G47" s="19">
        <f>300</f>
        <v>300</v>
      </c>
      <c r="H47" s="19">
        <f t="shared" si="14"/>
        <v>-300</v>
      </c>
      <c r="I47" s="20">
        <f t="shared" si="15"/>
        <v>0</v>
      </c>
      <c r="J47" s="19">
        <f>1101.75</f>
        <v>1101.75</v>
      </c>
      <c r="K47" s="19">
        <f>300</f>
        <v>300</v>
      </c>
      <c r="L47" s="19">
        <f t="shared" si="16"/>
        <v>801.75</v>
      </c>
      <c r="M47" s="20">
        <f t="shared" si="17"/>
        <v>3.6724999999999999</v>
      </c>
      <c r="N47" s="21"/>
      <c r="O47" s="19">
        <f>350</f>
        <v>350</v>
      </c>
      <c r="P47" s="19">
        <f t="shared" si="18"/>
        <v>-350</v>
      </c>
      <c r="Q47" s="20">
        <f t="shared" si="19"/>
        <v>0</v>
      </c>
      <c r="R47" s="19">
        <f t="shared" si="20"/>
        <v>1101.75</v>
      </c>
      <c r="S47" s="19">
        <f t="shared" si="21"/>
        <v>1250</v>
      </c>
      <c r="T47" s="19">
        <f t="shared" si="22"/>
        <v>-148.25</v>
      </c>
      <c r="U47" s="20">
        <f t="shared" si="23"/>
        <v>0.88139999999999996</v>
      </c>
    </row>
    <row r="48" spans="1:21" s="5" customFormat="1" ht="18" x14ac:dyDescent="0.35">
      <c r="A48" s="10" t="s">
        <v>50</v>
      </c>
      <c r="B48" s="21"/>
      <c r="C48" s="21"/>
      <c r="D48" s="19">
        <f t="shared" si="12"/>
        <v>0</v>
      </c>
      <c r="E48" s="20" t="str">
        <f t="shared" si="13"/>
        <v/>
      </c>
      <c r="F48" s="21"/>
      <c r="G48" s="21"/>
      <c r="H48" s="19">
        <f t="shared" si="14"/>
        <v>0</v>
      </c>
      <c r="I48" s="20" t="str">
        <f t="shared" si="15"/>
        <v/>
      </c>
      <c r="J48" s="21"/>
      <c r="K48" s="21"/>
      <c r="L48" s="19">
        <f t="shared" si="16"/>
        <v>0</v>
      </c>
      <c r="M48" s="20" t="str">
        <f t="shared" si="17"/>
        <v/>
      </c>
      <c r="N48" s="21"/>
      <c r="O48" s="21"/>
      <c r="P48" s="19">
        <f t="shared" si="18"/>
        <v>0</v>
      </c>
      <c r="Q48" s="20" t="str">
        <f t="shared" si="19"/>
        <v/>
      </c>
      <c r="R48" s="19">
        <f t="shared" si="20"/>
        <v>0</v>
      </c>
      <c r="S48" s="19">
        <f t="shared" si="21"/>
        <v>0</v>
      </c>
      <c r="T48" s="19">
        <f t="shared" si="22"/>
        <v>0</v>
      </c>
      <c r="U48" s="20" t="str">
        <f t="shared" si="23"/>
        <v/>
      </c>
    </row>
    <row r="49" spans="1:21" s="5" customFormat="1" ht="18" x14ac:dyDescent="0.35">
      <c r="A49" s="10" t="s">
        <v>51</v>
      </c>
      <c r="B49" s="21"/>
      <c r="C49" s="19">
        <f>100</f>
        <v>100</v>
      </c>
      <c r="D49" s="19">
        <f t="shared" si="12"/>
        <v>-100</v>
      </c>
      <c r="E49" s="20">
        <f t="shared" si="13"/>
        <v>0</v>
      </c>
      <c r="F49" s="21"/>
      <c r="G49" s="19">
        <f>100</f>
        <v>100</v>
      </c>
      <c r="H49" s="19">
        <f t="shared" si="14"/>
        <v>-100</v>
      </c>
      <c r="I49" s="20">
        <f t="shared" si="15"/>
        <v>0</v>
      </c>
      <c r="J49" s="21"/>
      <c r="K49" s="19">
        <f>100</f>
        <v>100</v>
      </c>
      <c r="L49" s="19">
        <f t="shared" si="16"/>
        <v>-100</v>
      </c>
      <c r="M49" s="20">
        <f t="shared" si="17"/>
        <v>0</v>
      </c>
      <c r="N49" s="21"/>
      <c r="O49" s="19">
        <f>100</f>
        <v>100</v>
      </c>
      <c r="P49" s="19">
        <f t="shared" si="18"/>
        <v>-100</v>
      </c>
      <c r="Q49" s="20">
        <f t="shared" si="19"/>
        <v>0</v>
      </c>
      <c r="R49" s="19">
        <f t="shared" si="20"/>
        <v>0</v>
      </c>
      <c r="S49" s="19">
        <f t="shared" si="21"/>
        <v>400</v>
      </c>
      <c r="T49" s="19">
        <f t="shared" si="22"/>
        <v>-400</v>
      </c>
      <c r="U49" s="20">
        <f t="shared" si="23"/>
        <v>0</v>
      </c>
    </row>
    <row r="50" spans="1:21" s="5" customFormat="1" ht="18" x14ac:dyDescent="0.35">
      <c r="A50" s="10" t="s">
        <v>52</v>
      </c>
      <c r="B50" s="19">
        <f>207.75</f>
        <v>207.75</v>
      </c>
      <c r="C50" s="19">
        <f>100</f>
        <v>100</v>
      </c>
      <c r="D50" s="19">
        <f t="shared" si="12"/>
        <v>107.75</v>
      </c>
      <c r="E50" s="20">
        <f t="shared" si="13"/>
        <v>2.0775000000000001</v>
      </c>
      <c r="F50" s="21"/>
      <c r="G50" s="19">
        <f>100</f>
        <v>100</v>
      </c>
      <c r="H50" s="19">
        <f t="shared" si="14"/>
        <v>-100</v>
      </c>
      <c r="I50" s="20">
        <f t="shared" si="15"/>
        <v>0</v>
      </c>
      <c r="J50" s="21"/>
      <c r="K50" s="19">
        <f>100</f>
        <v>100</v>
      </c>
      <c r="L50" s="19">
        <f t="shared" si="16"/>
        <v>-100</v>
      </c>
      <c r="M50" s="20">
        <f t="shared" si="17"/>
        <v>0</v>
      </c>
      <c r="N50" s="21"/>
      <c r="O50" s="19">
        <f>100</f>
        <v>100</v>
      </c>
      <c r="P50" s="19">
        <f t="shared" si="18"/>
        <v>-100</v>
      </c>
      <c r="Q50" s="20">
        <f t="shared" si="19"/>
        <v>0</v>
      </c>
      <c r="R50" s="19">
        <f t="shared" si="20"/>
        <v>207.75</v>
      </c>
      <c r="S50" s="19">
        <f t="shared" si="21"/>
        <v>400</v>
      </c>
      <c r="T50" s="19">
        <f t="shared" si="22"/>
        <v>-192.25</v>
      </c>
      <c r="U50" s="20">
        <f t="shared" si="23"/>
        <v>0.51937500000000003</v>
      </c>
    </row>
    <row r="51" spans="1:21" s="5" customFormat="1" ht="18" x14ac:dyDescent="0.35">
      <c r="A51" s="10" t="s">
        <v>53</v>
      </c>
      <c r="B51" s="21"/>
      <c r="C51" s="19">
        <f>100</f>
        <v>100</v>
      </c>
      <c r="D51" s="19">
        <f t="shared" si="12"/>
        <v>-100</v>
      </c>
      <c r="E51" s="20">
        <f t="shared" si="13"/>
        <v>0</v>
      </c>
      <c r="F51" s="21"/>
      <c r="G51" s="19">
        <f>100</f>
        <v>100</v>
      </c>
      <c r="H51" s="19">
        <f t="shared" si="14"/>
        <v>-100</v>
      </c>
      <c r="I51" s="20">
        <f t="shared" si="15"/>
        <v>0</v>
      </c>
      <c r="J51" s="21"/>
      <c r="K51" s="19">
        <f>100</f>
        <v>100</v>
      </c>
      <c r="L51" s="19">
        <f t="shared" si="16"/>
        <v>-100</v>
      </c>
      <c r="M51" s="20">
        <f t="shared" si="17"/>
        <v>0</v>
      </c>
      <c r="N51" s="21"/>
      <c r="O51" s="19">
        <f>100</f>
        <v>100</v>
      </c>
      <c r="P51" s="19">
        <f t="shared" si="18"/>
        <v>-100</v>
      </c>
      <c r="Q51" s="20">
        <f t="shared" si="19"/>
        <v>0</v>
      </c>
      <c r="R51" s="19">
        <f t="shared" si="20"/>
        <v>0</v>
      </c>
      <c r="S51" s="19">
        <f t="shared" si="21"/>
        <v>400</v>
      </c>
      <c r="T51" s="19">
        <f t="shared" si="22"/>
        <v>-400</v>
      </c>
      <c r="U51" s="20">
        <f t="shared" si="23"/>
        <v>0</v>
      </c>
    </row>
    <row r="52" spans="1:21" s="5" customFormat="1" ht="35.4" x14ac:dyDescent="0.35">
      <c r="A52" s="10" t="s">
        <v>54</v>
      </c>
      <c r="B52" s="21"/>
      <c r="C52" s="19">
        <f>100</f>
        <v>100</v>
      </c>
      <c r="D52" s="19">
        <f t="shared" si="12"/>
        <v>-100</v>
      </c>
      <c r="E52" s="20">
        <f t="shared" si="13"/>
        <v>0</v>
      </c>
      <c r="F52" s="21"/>
      <c r="G52" s="19">
        <f>100</f>
        <v>100</v>
      </c>
      <c r="H52" s="19">
        <f t="shared" si="14"/>
        <v>-100</v>
      </c>
      <c r="I52" s="20">
        <f t="shared" si="15"/>
        <v>0</v>
      </c>
      <c r="J52" s="21"/>
      <c r="K52" s="19">
        <f>100</f>
        <v>100</v>
      </c>
      <c r="L52" s="19">
        <f t="shared" si="16"/>
        <v>-100</v>
      </c>
      <c r="M52" s="20">
        <f t="shared" si="17"/>
        <v>0</v>
      </c>
      <c r="N52" s="21"/>
      <c r="O52" s="19">
        <f>100</f>
        <v>100</v>
      </c>
      <c r="P52" s="19">
        <f t="shared" si="18"/>
        <v>-100</v>
      </c>
      <c r="Q52" s="20">
        <f t="shared" si="19"/>
        <v>0</v>
      </c>
      <c r="R52" s="19">
        <f t="shared" si="20"/>
        <v>0</v>
      </c>
      <c r="S52" s="19">
        <f t="shared" si="21"/>
        <v>400</v>
      </c>
      <c r="T52" s="19">
        <f t="shared" si="22"/>
        <v>-400</v>
      </c>
      <c r="U52" s="20">
        <f t="shared" si="23"/>
        <v>0</v>
      </c>
    </row>
    <row r="53" spans="1:21" s="5" customFormat="1" ht="35.4" x14ac:dyDescent="0.35">
      <c r="A53" s="10" t="s">
        <v>55</v>
      </c>
      <c r="B53" s="21"/>
      <c r="C53" s="19">
        <f>100</f>
        <v>100</v>
      </c>
      <c r="D53" s="19">
        <f t="shared" si="12"/>
        <v>-100</v>
      </c>
      <c r="E53" s="20">
        <f t="shared" si="13"/>
        <v>0</v>
      </c>
      <c r="F53" s="21"/>
      <c r="G53" s="19">
        <f>100</f>
        <v>100</v>
      </c>
      <c r="H53" s="19">
        <f t="shared" si="14"/>
        <v>-100</v>
      </c>
      <c r="I53" s="20">
        <f t="shared" si="15"/>
        <v>0</v>
      </c>
      <c r="J53" s="21"/>
      <c r="K53" s="19">
        <f>100</f>
        <v>100</v>
      </c>
      <c r="L53" s="19">
        <f t="shared" si="16"/>
        <v>-100</v>
      </c>
      <c r="M53" s="20">
        <f t="shared" si="17"/>
        <v>0</v>
      </c>
      <c r="N53" s="21"/>
      <c r="O53" s="19">
        <f>100</f>
        <v>100</v>
      </c>
      <c r="P53" s="19">
        <f t="shared" si="18"/>
        <v>-100</v>
      </c>
      <c r="Q53" s="20">
        <f t="shared" si="19"/>
        <v>0</v>
      </c>
      <c r="R53" s="19">
        <f t="shared" si="20"/>
        <v>0</v>
      </c>
      <c r="S53" s="19">
        <f t="shared" si="21"/>
        <v>400</v>
      </c>
      <c r="T53" s="19">
        <f t="shared" si="22"/>
        <v>-400</v>
      </c>
      <c r="U53" s="20">
        <f t="shared" si="23"/>
        <v>0</v>
      </c>
    </row>
    <row r="54" spans="1:21" s="5" customFormat="1" ht="18" x14ac:dyDescent="0.35">
      <c r="A54" s="10" t="s">
        <v>56</v>
      </c>
      <c r="B54" s="21"/>
      <c r="C54" s="19">
        <f>100</f>
        <v>100</v>
      </c>
      <c r="D54" s="19">
        <f t="shared" si="12"/>
        <v>-100</v>
      </c>
      <c r="E54" s="20">
        <f t="shared" si="13"/>
        <v>0</v>
      </c>
      <c r="F54" s="21"/>
      <c r="G54" s="19">
        <f>100</f>
        <v>100</v>
      </c>
      <c r="H54" s="19">
        <f t="shared" si="14"/>
        <v>-100</v>
      </c>
      <c r="I54" s="20">
        <f t="shared" si="15"/>
        <v>0</v>
      </c>
      <c r="J54" s="21"/>
      <c r="K54" s="19">
        <f>100</f>
        <v>100</v>
      </c>
      <c r="L54" s="19">
        <f t="shared" si="16"/>
        <v>-100</v>
      </c>
      <c r="M54" s="20">
        <f t="shared" si="17"/>
        <v>0</v>
      </c>
      <c r="N54" s="21"/>
      <c r="O54" s="19">
        <f>100</f>
        <v>100</v>
      </c>
      <c r="P54" s="19">
        <f t="shared" si="18"/>
        <v>-100</v>
      </c>
      <c r="Q54" s="20">
        <f t="shared" si="19"/>
        <v>0</v>
      </c>
      <c r="R54" s="19">
        <f t="shared" si="20"/>
        <v>0</v>
      </c>
      <c r="S54" s="19">
        <f t="shared" si="21"/>
        <v>400</v>
      </c>
      <c r="T54" s="19">
        <f t="shared" si="22"/>
        <v>-400</v>
      </c>
      <c r="U54" s="20">
        <f t="shared" si="23"/>
        <v>0</v>
      </c>
    </row>
    <row r="55" spans="1:21" s="5" customFormat="1" ht="18" x14ac:dyDescent="0.35">
      <c r="A55" s="10" t="s">
        <v>57</v>
      </c>
      <c r="B55" s="21"/>
      <c r="C55" s="19">
        <f>100</f>
        <v>100</v>
      </c>
      <c r="D55" s="19">
        <f t="shared" si="12"/>
        <v>-100</v>
      </c>
      <c r="E55" s="20">
        <f t="shared" si="13"/>
        <v>0</v>
      </c>
      <c r="F55" s="21"/>
      <c r="G55" s="19">
        <f>100</f>
        <v>100</v>
      </c>
      <c r="H55" s="19">
        <f t="shared" si="14"/>
        <v>-100</v>
      </c>
      <c r="I55" s="20">
        <f t="shared" si="15"/>
        <v>0</v>
      </c>
      <c r="J55" s="21"/>
      <c r="K55" s="19">
        <f>100</f>
        <v>100</v>
      </c>
      <c r="L55" s="19">
        <f t="shared" si="16"/>
        <v>-100</v>
      </c>
      <c r="M55" s="20">
        <f t="shared" si="17"/>
        <v>0</v>
      </c>
      <c r="N55" s="21"/>
      <c r="O55" s="19">
        <f>100</f>
        <v>100</v>
      </c>
      <c r="P55" s="19">
        <f t="shared" si="18"/>
        <v>-100</v>
      </c>
      <c r="Q55" s="20">
        <f t="shared" si="19"/>
        <v>0</v>
      </c>
      <c r="R55" s="19">
        <f t="shared" si="20"/>
        <v>0</v>
      </c>
      <c r="S55" s="19">
        <f t="shared" si="21"/>
        <v>400</v>
      </c>
      <c r="T55" s="19">
        <f t="shared" si="22"/>
        <v>-400</v>
      </c>
      <c r="U55" s="20">
        <f t="shared" si="23"/>
        <v>0</v>
      </c>
    </row>
    <row r="56" spans="1:21" s="5" customFormat="1" ht="18" x14ac:dyDescent="0.35">
      <c r="A56" s="10" t="s">
        <v>58</v>
      </c>
      <c r="B56" s="21"/>
      <c r="C56" s="19">
        <f>100</f>
        <v>100</v>
      </c>
      <c r="D56" s="19">
        <f t="shared" si="12"/>
        <v>-100</v>
      </c>
      <c r="E56" s="20">
        <f t="shared" si="13"/>
        <v>0</v>
      </c>
      <c r="F56" s="21"/>
      <c r="G56" s="19">
        <f>100</f>
        <v>100</v>
      </c>
      <c r="H56" s="19">
        <f t="shared" si="14"/>
        <v>-100</v>
      </c>
      <c r="I56" s="20">
        <f t="shared" si="15"/>
        <v>0</v>
      </c>
      <c r="J56" s="21"/>
      <c r="K56" s="19">
        <f>100</f>
        <v>100</v>
      </c>
      <c r="L56" s="19">
        <f t="shared" si="16"/>
        <v>-100</v>
      </c>
      <c r="M56" s="20">
        <f t="shared" si="17"/>
        <v>0</v>
      </c>
      <c r="N56" s="21"/>
      <c r="O56" s="19">
        <f>100</f>
        <v>100</v>
      </c>
      <c r="P56" s="19">
        <f t="shared" si="18"/>
        <v>-100</v>
      </c>
      <c r="Q56" s="20">
        <f t="shared" si="19"/>
        <v>0</v>
      </c>
      <c r="R56" s="19">
        <f t="shared" si="20"/>
        <v>0</v>
      </c>
      <c r="S56" s="19">
        <f t="shared" si="21"/>
        <v>400</v>
      </c>
      <c r="T56" s="19">
        <f t="shared" si="22"/>
        <v>-400</v>
      </c>
      <c r="U56" s="20">
        <f t="shared" si="23"/>
        <v>0</v>
      </c>
    </row>
    <row r="57" spans="1:21" s="5" customFormat="1" ht="18" x14ac:dyDescent="0.35">
      <c r="A57" s="10" t="s">
        <v>59</v>
      </c>
      <c r="B57" s="21"/>
      <c r="C57" s="19">
        <f>200</f>
        <v>200</v>
      </c>
      <c r="D57" s="19">
        <f t="shared" si="12"/>
        <v>-200</v>
      </c>
      <c r="E57" s="20">
        <f t="shared" si="13"/>
        <v>0</v>
      </c>
      <c r="F57" s="21"/>
      <c r="G57" s="19">
        <f>200</f>
        <v>200</v>
      </c>
      <c r="H57" s="19">
        <f t="shared" si="14"/>
        <v>-200</v>
      </c>
      <c r="I57" s="20">
        <f t="shared" si="15"/>
        <v>0</v>
      </c>
      <c r="J57" s="21"/>
      <c r="K57" s="19">
        <f>200</f>
        <v>200</v>
      </c>
      <c r="L57" s="19">
        <f t="shared" si="16"/>
        <v>-200</v>
      </c>
      <c r="M57" s="20">
        <f t="shared" si="17"/>
        <v>0</v>
      </c>
      <c r="N57" s="21"/>
      <c r="O57" s="19">
        <f>200</f>
        <v>200</v>
      </c>
      <c r="P57" s="19">
        <f t="shared" si="18"/>
        <v>-200</v>
      </c>
      <c r="Q57" s="20">
        <f t="shared" si="19"/>
        <v>0</v>
      </c>
      <c r="R57" s="19">
        <f t="shared" si="20"/>
        <v>0</v>
      </c>
      <c r="S57" s="19">
        <f t="shared" si="21"/>
        <v>800</v>
      </c>
      <c r="T57" s="19">
        <f t="shared" si="22"/>
        <v>-800</v>
      </c>
      <c r="U57" s="20">
        <f t="shared" si="23"/>
        <v>0</v>
      </c>
    </row>
    <row r="58" spans="1:21" s="5" customFormat="1" ht="18" x14ac:dyDescent="0.35">
      <c r="A58" s="10" t="s">
        <v>60</v>
      </c>
      <c r="B58" s="21"/>
      <c r="C58" s="19">
        <f>100</f>
        <v>100</v>
      </c>
      <c r="D58" s="19">
        <f t="shared" si="12"/>
        <v>-100</v>
      </c>
      <c r="E58" s="20">
        <f t="shared" si="13"/>
        <v>0</v>
      </c>
      <c r="F58" s="21"/>
      <c r="G58" s="19">
        <f>100</f>
        <v>100</v>
      </c>
      <c r="H58" s="19">
        <f t="shared" si="14"/>
        <v>-100</v>
      </c>
      <c r="I58" s="20">
        <f t="shared" si="15"/>
        <v>0</v>
      </c>
      <c r="J58" s="21"/>
      <c r="K58" s="19">
        <f>100</f>
        <v>100</v>
      </c>
      <c r="L58" s="19">
        <f t="shared" si="16"/>
        <v>-100</v>
      </c>
      <c r="M58" s="20">
        <f t="shared" si="17"/>
        <v>0</v>
      </c>
      <c r="N58" s="19">
        <f>400</f>
        <v>400</v>
      </c>
      <c r="O58" s="19">
        <f>100</f>
        <v>100</v>
      </c>
      <c r="P58" s="19">
        <f t="shared" si="18"/>
        <v>300</v>
      </c>
      <c r="Q58" s="20">
        <f t="shared" si="19"/>
        <v>4</v>
      </c>
      <c r="R58" s="19">
        <f t="shared" si="20"/>
        <v>400</v>
      </c>
      <c r="S58" s="19">
        <f t="shared" si="21"/>
        <v>400</v>
      </c>
      <c r="T58" s="19">
        <f t="shared" si="22"/>
        <v>0</v>
      </c>
      <c r="U58" s="20">
        <f t="shared" si="23"/>
        <v>1</v>
      </c>
    </row>
    <row r="59" spans="1:21" s="5" customFormat="1" ht="18" x14ac:dyDescent="0.35">
      <c r="A59" s="10" t="s">
        <v>61</v>
      </c>
      <c r="B59" s="21"/>
      <c r="C59" s="19">
        <f>200</f>
        <v>200</v>
      </c>
      <c r="D59" s="19">
        <f t="shared" si="12"/>
        <v>-200</v>
      </c>
      <c r="E59" s="20">
        <f t="shared" si="13"/>
        <v>0</v>
      </c>
      <c r="F59" s="19">
        <f>27.75</f>
        <v>27.75</v>
      </c>
      <c r="G59" s="19">
        <f>200</f>
        <v>200</v>
      </c>
      <c r="H59" s="19">
        <f t="shared" si="14"/>
        <v>-172.25</v>
      </c>
      <c r="I59" s="20">
        <f t="shared" si="15"/>
        <v>0.13875000000000001</v>
      </c>
      <c r="J59" s="21"/>
      <c r="K59" s="19">
        <f>200</f>
        <v>200</v>
      </c>
      <c r="L59" s="19">
        <f t="shared" si="16"/>
        <v>-200</v>
      </c>
      <c r="M59" s="20">
        <f t="shared" si="17"/>
        <v>0</v>
      </c>
      <c r="N59" s="21"/>
      <c r="O59" s="19">
        <f>200</f>
        <v>200</v>
      </c>
      <c r="P59" s="19">
        <f t="shared" si="18"/>
        <v>-200</v>
      </c>
      <c r="Q59" s="20">
        <f t="shared" si="19"/>
        <v>0</v>
      </c>
      <c r="R59" s="19">
        <f t="shared" si="20"/>
        <v>27.75</v>
      </c>
      <c r="S59" s="19">
        <f t="shared" si="21"/>
        <v>800</v>
      </c>
      <c r="T59" s="19">
        <f t="shared" si="22"/>
        <v>-772.25</v>
      </c>
      <c r="U59" s="20">
        <f t="shared" si="23"/>
        <v>3.4687500000000003E-2</v>
      </c>
    </row>
    <row r="60" spans="1:21" s="5" customFormat="1" ht="18" x14ac:dyDescent="0.35">
      <c r="A60" s="10" t="s">
        <v>62</v>
      </c>
      <c r="B60" s="21"/>
      <c r="C60" s="19">
        <f>200</f>
        <v>200</v>
      </c>
      <c r="D60" s="19">
        <f t="shared" si="12"/>
        <v>-200</v>
      </c>
      <c r="E60" s="20">
        <f t="shared" si="13"/>
        <v>0</v>
      </c>
      <c r="F60" s="21"/>
      <c r="G60" s="19">
        <f>200</f>
        <v>200</v>
      </c>
      <c r="H60" s="19">
        <f t="shared" si="14"/>
        <v>-200</v>
      </c>
      <c r="I60" s="20">
        <f t="shared" si="15"/>
        <v>0</v>
      </c>
      <c r="J60" s="21"/>
      <c r="K60" s="19">
        <f>200</f>
        <v>200</v>
      </c>
      <c r="L60" s="19">
        <f t="shared" si="16"/>
        <v>-200</v>
      </c>
      <c r="M60" s="20">
        <f t="shared" si="17"/>
        <v>0</v>
      </c>
      <c r="N60" s="21"/>
      <c r="O60" s="19">
        <f>200</f>
        <v>200</v>
      </c>
      <c r="P60" s="19">
        <f t="shared" si="18"/>
        <v>-200</v>
      </c>
      <c r="Q60" s="20">
        <f t="shared" si="19"/>
        <v>0</v>
      </c>
      <c r="R60" s="19">
        <f t="shared" si="20"/>
        <v>0</v>
      </c>
      <c r="S60" s="19">
        <f t="shared" si="21"/>
        <v>800</v>
      </c>
      <c r="T60" s="19">
        <f t="shared" si="22"/>
        <v>-800</v>
      </c>
      <c r="U60" s="20">
        <f t="shared" si="23"/>
        <v>0</v>
      </c>
    </row>
    <row r="61" spans="1:21" s="5" customFormat="1" ht="18" x14ac:dyDescent="0.35">
      <c r="A61" s="10" t="s">
        <v>63</v>
      </c>
      <c r="B61" s="21"/>
      <c r="C61" s="19">
        <f>100</f>
        <v>100</v>
      </c>
      <c r="D61" s="19">
        <f t="shared" si="12"/>
        <v>-100</v>
      </c>
      <c r="E61" s="20">
        <f t="shared" si="13"/>
        <v>0</v>
      </c>
      <c r="F61" s="21"/>
      <c r="G61" s="19">
        <f>100</f>
        <v>100</v>
      </c>
      <c r="H61" s="19">
        <f t="shared" si="14"/>
        <v>-100</v>
      </c>
      <c r="I61" s="20">
        <f t="shared" si="15"/>
        <v>0</v>
      </c>
      <c r="J61" s="21"/>
      <c r="K61" s="19">
        <f>100</f>
        <v>100</v>
      </c>
      <c r="L61" s="19">
        <f t="shared" si="16"/>
        <v>-100</v>
      </c>
      <c r="M61" s="20">
        <f t="shared" si="17"/>
        <v>0</v>
      </c>
      <c r="N61" s="21"/>
      <c r="O61" s="19">
        <f>100</f>
        <v>100</v>
      </c>
      <c r="P61" s="19">
        <f t="shared" si="18"/>
        <v>-100</v>
      </c>
      <c r="Q61" s="20">
        <f t="shared" si="19"/>
        <v>0</v>
      </c>
      <c r="R61" s="19">
        <f t="shared" si="20"/>
        <v>0</v>
      </c>
      <c r="S61" s="19">
        <f t="shared" si="21"/>
        <v>400</v>
      </c>
      <c r="T61" s="19">
        <f t="shared" si="22"/>
        <v>-400</v>
      </c>
      <c r="U61" s="20">
        <f t="shared" si="23"/>
        <v>0</v>
      </c>
    </row>
    <row r="62" spans="1:21" s="5" customFormat="1" ht="18" x14ac:dyDescent="0.35">
      <c r="A62" s="10" t="s">
        <v>64</v>
      </c>
      <c r="B62" s="19">
        <f>17.71</f>
        <v>17.71</v>
      </c>
      <c r="C62" s="19">
        <f>100</f>
        <v>100</v>
      </c>
      <c r="D62" s="19">
        <f t="shared" si="12"/>
        <v>-82.289999999999992</v>
      </c>
      <c r="E62" s="20">
        <f t="shared" si="13"/>
        <v>0.17710000000000001</v>
      </c>
      <c r="F62" s="21"/>
      <c r="G62" s="19">
        <f>100</f>
        <v>100</v>
      </c>
      <c r="H62" s="19">
        <f t="shared" si="14"/>
        <v>-100</v>
      </c>
      <c r="I62" s="20">
        <f t="shared" si="15"/>
        <v>0</v>
      </c>
      <c r="J62" s="19">
        <f>317.82</f>
        <v>317.82</v>
      </c>
      <c r="K62" s="19">
        <f>100</f>
        <v>100</v>
      </c>
      <c r="L62" s="19">
        <f t="shared" si="16"/>
        <v>217.82</v>
      </c>
      <c r="M62" s="20">
        <f t="shared" si="17"/>
        <v>3.1781999999999999</v>
      </c>
      <c r="N62" s="21"/>
      <c r="O62" s="19">
        <f>100</f>
        <v>100</v>
      </c>
      <c r="P62" s="19">
        <f t="shared" si="18"/>
        <v>-100</v>
      </c>
      <c r="Q62" s="20">
        <f t="shared" si="19"/>
        <v>0</v>
      </c>
      <c r="R62" s="19">
        <f t="shared" si="20"/>
        <v>335.53</v>
      </c>
      <c r="S62" s="19">
        <f t="shared" si="21"/>
        <v>400</v>
      </c>
      <c r="T62" s="19">
        <f t="shared" si="22"/>
        <v>-64.470000000000027</v>
      </c>
      <c r="U62" s="20">
        <f t="shared" si="23"/>
        <v>0.83882499999999993</v>
      </c>
    </row>
    <row r="63" spans="1:21" s="5" customFormat="1" ht="18" x14ac:dyDescent="0.35">
      <c r="A63" s="10" t="s">
        <v>65</v>
      </c>
      <c r="B63" s="19">
        <f>82.26</f>
        <v>82.26</v>
      </c>
      <c r="C63" s="19">
        <f>100</f>
        <v>100</v>
      </c>
      <c r="D63" s="19">
        <f t="shared" si="12"/>
        <v>-17.739999999999995</v>
      </c>
      <c r="E63" s="20">
        <f t="shared" si="13"/>
        <v>0.8226</v>
      </c>
      <c r="F63" s="21"/>
      <c r="G63" s="19">
        <f>100</f>
        <v>100</v>
      </c>
      <c r="H63" s="19">
        <f t="shared" si="14"/>
        <v>-100</v>
      </c>
      <c r="I63" s="20">
        <f t="shared" si="15"/>
        <v>0</v>
      </c>
      <c r="J63" s="19">
        <f>156.08</f>
        <v>156.08000000000001</v>
      </c>
      <c r="K63" s="19">
        <f>100</f>
        <v>100</v>
      </c>
      <c r="L63" s="19">
        <f t="shared" si="16"/>
        <v>56.080000000000013</v>
      </c>
      <c r="M63" s="20">
        <f t="shared" si="17"/>
        <v>1.5608000000000002</v>
      </c>
      <c r="N63" s="21"/>
      <c r="O63" s="19">
        <f>100</f>
        <v>100</v>
      </c>
      <c r="P63" s="19">
        <f t="shared" si="18"/>
        <v>-100</v>
      </c>
      <c r="Q63" s="20">
        <f t="shared" si="19"/>
        <v>0</v>
      </c>
      <c r="R63" s="19">
        <f t="shared" si="20"/>
        <v>238.34000000000003</v>
      </c>
      <c r="S63" s="19">
        <f t="shared" si="21"/>
        <v>400</v>
      </c>
      <c r="T63" s="19">
        <f t="shared" si="22"/>
        <v>-161.65999999999997</v>
      </c>
      <c r="U63" s="20">
        <f t="shared" si="23"/>
        <v>0.5958500000000001</v>
      </c>
    </row>
    <row r="64" spans="1:21" s="5" customFormat="1" ht="18" x14ac:dyDescent="0.35">
      <c r="A64" s="10" t="s">
        <v>66</v>
      </c>
      <c r="B64" s="21"/>
      <c r="C64" s="19">
        <f>100</f>
        <v>100</v>
      </c>
      <c r="D64" s="19">
        <f t="shared" si="12"/>
        <v>-100</v>
      </c>
      <c r="E64" s="20">
        <f t="shared" si="13"/>
        <v>0</v>
      </c>
      <c r="F64" s="21"/>
      <c r="G64" s="19">
        <f>100</f>
        <v>100</v>
      </c>
      <c r="H64" s="19">
        <f t="shared" si="14"/>
        <v>-100</v>
      </c>
      <c r="I64" s="20">
        <f t="shared" si="15"/>
        <v>0</v>
      </c>
      <c r="J64" s="21"/>
      <c r="K64" s="19">
        <f>100</f>
        <v>100</v>
      </c>
      <c r="L64" s="19">
        <f t="shared" si="16"/>
        <v>-100</v>
      </c>
      <c r="M64" s="20">
        <f t="shared" si="17"/>
        <v>0</v>
      </c>
      <c r="N64" s="21"/>
      <c r="O64" s="19">
        <f>100</f>
        <v>100</v>
      </c>
      <c r="P64" s="19">
        <f t="shared" si="18"/>
        <v>-100</v>
      </c>
      <c r="Q64" s="20">
        <f t="shared" si="19"/>
        <v>0</v>
      </c>
      <c r="R64" s="19">
        <f t="shared" si="20"/>
        <v>0</v>
      </c>
      <c r="S64" s="19">
        <f t="shared" si="21"/>
        <v>400</v>
      </c>
      <c r="T64" s="19">
        <f t="shared" si="22"/>
        <v>-400</v>
      </c>
      <c r="U64" s="20">
        <f t="shared" si="23"/>
        <v>0</v>
      </c>
    </row>
    <row r="65" spans="1:21" s="5" customFormat="1" ht="18" x14ac:dyDescent="0.35">
      <c r="A65" s="10" t="s">
        <v>67</v>
      </c>
      <c r="B65" s="21"/>
      <c r="C65" s="19">
        <f>100</f>
        <v>100</v>
      </c>
      <c r="D65" s="19">
        <f t="shared" si="12"/>
        <v>-100</v>
      </c>
      <c r="E65" s="20">
        <f t="shared" si="13"/>
        <v>0</v>
      </c>
      <c r="F65" s="21"/>
      <c r="G65" s="19">
        <f>100</f>
        <v>100</v>
      </c>
      <c r="H65" s="19">
        <f t="shared" si="14"/>
        <v>-100</v>
      </c>
      <c r="I65" s="20">
        <f t="shared" si="15"/>
        <v>0</v>
      </c>
      <c r="J65" s="21"/>
      <c r="K65" s="19">
        <f>100</f>
        <v>100</v>
      </c>
      <c r="L65" s="19">
        <f t="shared" si="16"/>
        <v>-100</v>
      </c>
      <c r="M65" s="20">
        <f t="shared" si="17"/>
        <v>0</v>
      </c>
      <c r="N65" s="21"/>
      <c r="O65" s="19">
        <f>100</f>
        <v>100</v>
      </c>
      <c r="P65" s="19">
        <f t="shared" si="18"/>
        <v>-100</v>
      </c>
      <c r="Q65" s="20">
        <f t="shared" si="19"/>
        <v>0</v>
      </c>
      <c r="R65" s="19">
        <f t="shared" si="20"/>
        <v>0</v>
      </c>
      <c r="S65" s="19">
        <f t="shared" si="21"/>
        <v>400</v>
      </c>
      <c r="T65" s="19">
        <f t="shared" si="22"/>
        <v>-400</v>
      </c>
      <c r="U65" s="20">
        <f t="shared" si="23"/>
        <v>0</v>
      </c>
    </row>
    <row r="66" spans="1:21" s="5" customFormat="1" ht="18" x14ac:dyDescent="0.35">
      <c r="A66" s="10" t="s">
        <v>68</v>
      </c>
      <c r="B66" s="21"/>
      <c r="C66" s="19">
        <f>100</f>
        <v>100</v>
      </c>
      <c r="D66" s="19">
        <f t="shared" ref="D66:D97" si="24">(B66)-(C66)</f>
        <v>-100</v>
      </c>
      <c r="E66" s="20">
        <f t="shared" ref="E66:E97" si="25">IF(C66=0,"",(B66)/(C66))</f>
        <v>0</v>
      </c>
      <c r="F66" s="21"/>
      <c r="G66" s="19">
        <f>100</f>
        <v>100</v>
      </c>
      <c r="H66" s="19">
        <f t="shared" ref="H66:H97" si="26">(F66)-(G66)</f>
        <v>-100</v>
      </c>
      <c r="I66" s="20">
        <f t="shared" ref="I66:I97" si="27">IF(G66=0,"",(F66)/(G66))</f>
        <v>0</v>
      </c>
      <c r="J66" s="21"/>
      <c r="K66" s="19">
        <f>100</f>
        <v>100</v>
      </c>
      <c r="L66" s="19">
        <f t="shared" ref="L66:L97" si="28">(J66)-(K66)</f>
        <v>-100</v>
      </c>
      <c r="M66" s="20">
        <f t="shared" ref="M66:M97" si="29">IF(K66=0,"",(J66)/(K66))</f>
        <v>0</v>
      </c>
      <c r="N66" s="21"/>
      <c r="O66" s="19">
        <f>100</f>
        <v>100</v>
      </c>
      <c r="P66" s="19">
        <f t="shared" ref="P66:P97" si="30">(N66)-(O66)</f>
        <v>-100</v>
      </c>
      <c r="Q66" s="20">
        <f t="shared" ref="Q66:Q97" si="31">IF(O66=0,"",(N66)/(O66))</f>
        <v>0</v>
      </c>
      <c r="R66" s="19">
        <f t="shared" ref="R66:R97" si="32">(((B66)+(F66))+(J66))+(N66)</f>
        <v>0</v>
      </c>
      <c r="S66" s="19">
        <f t="shared" ref="S66:S97" si="33">(((C66)+(G66))+(K66))+(O66)</f>
        <v>400</v>
      </c>
      <c r="T66" s="19">
        <f t="shared" ref="T66:T97" si="34">(R66)-(S66)</f>
        <v>-400</v>
      </c>
      <c r="U66" s="20">
        <f t="shared" ref="U66:U97" si="35">IF(S66=0,"",(R66)/(S66))</f>
        <v>0</v>
      </c>
    </row>
    <row r="67" spans="1:21" s="5" customFormat="1" ht="18" x14ac:dyDescent="0.35">
      <c r="A67" s="10" t="s">
        <v>69</v>
      </c>
      <c r="B67" s="21"/>
      <c r="C67" s="19">
        <f>100</f>
        <v>100</v>
      </c>
      <c r="D67" s="19">
        <f t="shared" si="24"/>
        <v>-100</v>
      </c>
      <c r="E67" s="20">
        <f t="shared" si="25"/>
        <v>0</v>
      </c>
      <c r="F67" s="21"/>
      <c r="G67" s="19">
        <f>100</f>
        <v>100</v>
      </c>
      <c r="H67" s="19">
        <f t="shared" si="26"/>
        <v>-100</v>
      </c>
      <c r="I67" s="20">
        <f t="shared" si="27"/>
        <v>0</v>
      </c>
      <c r="J67" s="21"/>
      <c r="K67" s="19">
        <f>100</f>
        <v>100</v>
      </c>
      <c r="L67" s="19">
        <f t="shared" si="28"/>
        <v>-100</v>
      </c>
      <c r="M67" s="20">
        <f t="shared" si="29"/>
        <v>0</v>
      </c>
      <c r="N67" s="21"/>
      <c r="O67" s="19">
        <f>100</f>
        <v>100</v>
      </c>
      <c r="P67" s="19">
        <f t="shared" si="30"/>
        <v>-100</v>
      </c>
      <c r="Q67" s="20">
        <f t="shared" si="31"/>
        <v>0</v>
      </c>
      <c r="R67" s="19">
        <f t="shared" si="32"/>
        <v>0</v>
      </c>
      <c r="S67" s="19">
        <f t="shared" si="33"/>
        <v>400</v>
      </c>
      <c r="T67" s="19">
        <f t="shared" si="34"/>
        <v>-400</v>
      </c>
      <c r="U67" s="20">
        <f t="shared" si="35"/>
        <v>0</v>
      </c>
    </row>
    <row r="68" spans="1:21" s="5" customFormat="1" ht="18" x14ac:dyDescent="0.35">
      <c r="A68" s="10" t="s">
        <v>70</v>
      </c>
      <c r="B68" s="21"/>
      <c r="C68" s="19">
        <f>100</f>
        <v>100</v>
      </c>
      <c r="D68" s="19">
        <f t="shared" si="24"/>
        <v>-100</v>
      </c>
      <c r="E68" s="20">
        <f t="shared" si="25"/>
        <v>0</v>
      </c>
      <c r="F68" s="21"/>
      <c r="G68" s="19">
        <f>100</f>
        <v>100</v>
      </c>
      <c r="H68" s="19">
        <f t="shared" si="26"/>
        <v>-100</v>
      </c>
      <c r="I68" s="20">
        <f t="shared" si="27"/>
        <v>0</v>
      </c>
      <c r="J68" s="21"/>
      <c r="K68" s="19">
        <f>100</f>
        <v>100</v>
      </c>
      <c r="L68" s="19">
        <f t="shared" si="28"/>
        <v>-100</v>
      </c>
      <c r="M68" s="20">
        <f t="shared" si="29"/>
        <v>0</v>
      </c>
      <c r="N68" s="21"/>
      <c r="O68" s="19">
        <f>100</f>
        <v>100</v>
      </c>
      <c r="P68" s="19">
        <f t="shared" si="30"/>
        <v>-100</v>
      </c>
      <c r="Q68" s="20">
        <f t="shared" si="31"/>
        <v>0</v>
      </c>
      <c r="R68" s="19">
        <f t="shared" si="32"/>
        <v>0</v>
      </c>
      <c r="S68" s="19">
        <f t="shared" si="33"/>
        <v>400</v>
      </c>
      <c r="T68" s="19">
        <f t="shared" si="34"/>
        <v>-400</v>
      </c>
      <c r="U68" s="20">
        <f t="shared" si="35"/>
        <v>0</v>
      </c>
    </row>
    <row r="69" spans="1:21" s="5" customFormat="1" ht="18" x14ac:dyDescent="0.35">
      <c r="A69" s="10" t="s">
        <v>71</v>
      </c>
      <c r="B69" s="21"/>
      <c r="C69" s="19">
        <f>100</f>
        <v>100</v>
      </c>
      <c r="D69" s="19">
        <f t="shared" si="24"/>
        <v>-100</v>
      </c>
      <c r="E69" s="20">
        <f t="shared" si="25"/>
        <v>0</v>
      </c>
      <c r="F69" s="21"/>
      <c r="G69" s="19">
        <f>100</f>
        <v>100</v>
      </c>
      <c r="H69" s="19">
        <f t="shared" si="26"/>
        <v>-100</v>
      </c>
      <c r="I69" s="20">
        <f t="shared" si="27"/>
        <v>0</v>
      </c>
      <c r="J69" s="21"/>
      <c r="K69" s="19">
        <f>100</f>
        <v>100</v>
      </c>
      <c r="L69" s="19">
        <f t="shared" si="28"/>
        <v>-100</v>
      </c>
      <c r="M69" s="20">
        <f t="shared" si="29"/>
        <v>0</v>
      </c>
      <c r="N69" s="21"/>
      <c r="O69" s="19">
        <f>100</f>
        <v>100</v>
      </c>
      <c r="P69" s="19">
        <f t="shared" si="30"/>
        <v>-100</v>
      </c>
      <c r="Q69" s="20">
        <f t="shared" si="31"/>
        <v>0</v>
      </c>
      <c r="R69" s="19">
        <f t="shared" si="32"/>
        <v>0</v>
      </c>
      <c r="S69" s="19">
        <f t="shared" si="33"/>
        <v>400</v>
      </c>
      <c r="T69" s="19">
        <f t="shared" si="34"/>
        <v>-400</v>
      </c>
      <c r="U69" s="20">
        <f t="shared" si="35"/>
        <v>0</v>
      </c>
    </row>
    <row r="70" spans="1:21" s="5" customFormat="1" ht="18" x14ac:dyDescent="0.35">
      <c r="A70" s="10" t="s">
        <v>72</v>
      </c>
      <c r="B70" s="11"/>
      <c r="C70" s="12">
        <f>100</f>
        <v>100</v>
      </c>
      <c r="D70" s="12">
        <f t="shared" si="24"/>
        <v>-100</v>
      </c>
      <c r="E70" s="13">
        <f t="shared" si="25"/>
        <v>0</v>
      </c>
      <c r="F70" s="11"/>
      <c r="G70" s="12">
        <f>100</f>
        <v>100</v>
      </c>
      <c r="H70" s="12">
        <f t="shared" si="26"/>
        <v>-100</v>
      </c>
      <c r="I70" s="13">
        <f t="shared" si="27"/>
        <v>0</v>
      </c>
      <c r="J70" s="11"/>
      <c r="K70" s="12">
        <f>100</f>
        <v>100</v>
      </c>
      <c r="L70" s="12">
        <f t="shared" si="28"/>
        <v>-100</v>
      </c>
      <c r="M70" s="13">
        <f t="shared" si="29"/>
        <v>0</v>
      </c>
      <c r="N70" s="11"/>
      <c r="O70" s="12">
        <f>100</f>
        <v>100</v>
      </c>
      <c r="P70" s="12">
        <f t="shared" si="30"/>
        <v>-100</v>
      </c>
      <c r="Q70" s="13">
        <f t="shared" si="31"/>
        <v>0</v>
      </c>
      <c r="R70" s="12">
        <f t="shared" si="32"/>
        <v>0</v>
      </c>
      <c r="S70" s="12">
        <f t="shared" si="33"/>
        <v>400</v>
      </c>
      <c r="T70" s="12">
        <f t="shared" si="34"/>
        <v>-400</v>
      </c>
      <c r="U70" s="13">
        <f t="shared" si="35"/>
        <v>0</v>
      </c>
    </row>
    <row r="71" spans="1:21" s="5" customFormat="1" ht="18" x14ac:dyDescent="0.35">
      <c r="A71" s="10" t="s">
        <v>73</v>
      </c>
      <c r="B71" s="14">
        <f>((((((((((((((((((((((B48)+(B49))+(B50))+(B51))+(B52))+(B53))+(B54))+(B55))+(B56))+(B57))+(B58))+(B59))+(B60))+(B61))+(B62))+(B63))+(B64))+(B65))+(B66))+(B67))+(B68))+(B69))+(B70)</f>
        <v>307.72000000000003</v>
      </c>
      <c r="C71" s="14">
        <f>((((((((((((((((((((((C48)+(C49))+(C50))+(C51))+(C52))+(C53))+(C54))+(C55))+(C56))+(C57))+(C58))+(C59))+(C60))+(C61))+(C62))+(C63))+(C64))+(C65))+(C66))+(C67))+(C68))+(C69))+(C70)</f>
        <v>2500</v>
      </c>
      <c r="D71" s="14">
        <f t="shared" si="24"/>
        <v>-2192.2799999999997</v>
      </c>
      <c r="E71" s="15">
        <f t="shared" si="25"/>
        <v>0.12308800000000002</v>
      </c>
      <c r="F71" s="14">
        <f>((((((((((((((((((((((F48)+(F49))+(F50))+(F51))+(F52))+(F53))+(F54))+(F55))+(F56))+(F57))+(F58))+(F59))+(F60))+(F61))+(F62))+(F63))+(F64))+(F65))+(F66))+(F67))+(F68))+(F69))+(F70)</f>
        <v>27.75</v>
      </c>
      <c r="G71" s="14">
        <f>((((((((((((((((((((((G48)+(G49))+(G50))+(G51))+(G52))+(G53))+(G54))+(G55))+(G56))+(G57))+(G58))+(G59))+(G60))+(G61))+(G62))+(G63))+(G64))+(G65))+(G66))+(G67))+(G68))+(G69))+(G70)</f>
        <v>2500</v>
      </c>
      <c r="H71" s="14">
        <f t="shared" si="26"/>
        <v>-2472.25</v>
      </c>
      <c r="I71" s="15">
        <f t="shared" si="27"/>
        <v>1.11E-2</v>
      </c>
      <c r="J71" s="14">
        <f>((((((((((((((((((((((J48)+(J49))+(J50))+(J51))+(J52))+(J53))+(J54))+(J55))+(J56))+(J57))+(J58))+(J59))+(J60))+(J61))+(J62))+(J63))+(J64))+(J65))+(J66))+(J67))+(J68))+(J69))+(J70)</f>
        <v>473.9</v>
      </c>
      <c r="K71" s="14">
        <f>((((((((((((((((((((((K48)+(K49))+(K50))+(K51))+(K52))+(K53))+(K54))+(K55))+(K56))+(K57))+(K58))+(K59))+(K60))+(K61))+(K62))+(K63))+(K64))+(K65))+(K66))+(K67))+(K68))+(K69))+(K70)</f>
        <v>2500</v>
      </c>
      <c r="L71" s="14">
        <f t="shared" si="28"/>
        <v>-2026.1</v>
      </c>
      <c r="M71" s="15">
        <f t="shared" si="29"/>
        <v>0.18955999999999998</v>
      </c>
      <c r="N71" s="14">
        <f>((((((((((((((((((((((N48)+(N49))+(N50))+(N51))+(N52))+(N53))+(N54))+(N55))+(N56))+(N57))+(N58))+(N59))+(N60))+(N61))+(N62))+(N63))+(N64))+(N65))+(N66))+(N67))+(N68))+(N69))+(N70)</f>
        <v>400</v>
      </c>
      <c r="O71" s="14">
        <f>((((((((((((((((((((((O48)+(O49))+(O50))+(O51))+(O52))+(O53))+(O54))+(O55))+(O56))+(O57))+(O58))+(O59))+(O60))+(O61))+(O62))+(O63))+(O64))+(O65))+(O66))+(O67))+(O68))+(O69))+(O70)</f>
        <v>2500</v>
      </c>
      <c r="P71" s="14">
        <f t="shared" si="30"/>
        <v>-2100</v>
      </c>
      <c r="Q71" s="15">
        <f t="shared" si="31"/>
        <v>0.16</v>
      </c>
      <c r="R71" s="14">
        <f t="shared" si="32"/>
        <v>1209.3699999999999</v>
      </c>
      <c r="S71" s="14">
        <f t="shared" si="33"/>
        <v>10000</v>
      </c>
      <c r="T71" s="14">
        <f t="shared" si="34"/>
        <v>-8790.630000000001</v>
      </c>
      <c r="U71" s="15">
        <f t="shared" si="35"/>
        <v>0.12093699999999999</v>
      </c>
    </row>
    <row r="72" spans="1:21" s="5" customFormat="1" ht="18" x14ac:dyDescent="0.35">
      <c r="A72" s="10" t="s">
        <v>74</v>
      </c>
      <c r="B72" s="19">
        <f>29.39</f>
        <v>29.39</v>
      </c>
      <c r="C72" s="19">
        <f>150</f>
        <v>150</v>
      </c>
      <c r="D72" s="19">
        <f t="shared" si="24"/>
        <v>-120.61</v>
      </c>
      <c r="E72" s="20">
        <f t="shared" si="25"/>
        <v>0.19593333333333335</v>
      </c>
      <c r="F72" s="19">
        <f>162.27</f>
        <v>162.27000000000001</v>
      </c>
      <c r="G72" s="19">
        <f>150</f>
        <v>150</v>
      </c>
      <c r="H72" s="19">
        <f t="shared" si="26"/>
        <v>12.27000000000001</v>
      </c>
      <c r="I72" s="20">
        <f t="shared" si="27"/>
        <v>1.0818000000000001</v>
      </c>
      <c r="J72" s="19">
        <f>28.83</f>
        <v>28.83</v>
      </c>
      <c r="K72" s="19">
        <f>150</f>
        <v>150</v>
      </c>
      <c r="L72" s="19">
        <f t="shared" si="28"/>
        <v>-121.17</v>
      </c>
      <c r="M72" s="20">
        <f t="shared" si="29"/>
        <v>0.19219999999999998</v>
      </c>
      <c r="N72" s="21"/>
      <c r="O72" s="19">
        <f>150</f>
        <v>150</v>
      </c>
      <c r="P72" s="19">
        <f t="shared" si="30"/>
        <v>-150</v>
      </c>
      <c r="Q72" s="20">
        <f t="shared" si="31"/>
        <v>0</v>
      </c>
      <c r="R72" s="19">
        <f t="shared" si="32"/>
        <v>220.49</v>
      </c>
      <c r="S72" s="19">
        <f t="shared" si="33"/>
        <v>600</v>
      </c>
      <c r="T72" s="19">
        <f t="shared" si="34"/>
        <v>-379.51</v>
      </c>
      <c r="U72" s="20">
        <f t="shared" si="35"/>
        <v>0.36748333333333333</v>
      </c>
    </row>
    <row r="73" spans="1:21" s="5" customFormat="1" ht="18" x14ac:dyDescent="0.35">
      <c r="A73" s="10" t="s">
        <v>75</v>
      </c>
      <c r="B73" s="21"/>
      <c r="C73" s="19">
        <f>115</f>
        <v>115</v>
      </c>
      <c r="D73" s="19">
        <f t="shared" si="24"/>
        <v>-115</v>
      </c>
      <c r="E73" s="20">
        <f t="shared" si="25"/>
        <v>0</v>
      </c>
      <c r="F73" s="19">
        <f>16.92</f>
        <v>16.920000000000002</v>
      </c>
      <c r="G73" s="19">
        <f>115</f>
        <v>115</v>
      </c>
      <c r="H73" s="19">
        <f t="shared" si="26"/>
        <v>-98.08</v>
      </c>
      <c r="I73" s="20">
        <f t="shared" si="27"/>
        <v>0.1471304347826087</v>
      </c>
      <c r="J73" s="19">
        <f>15.81</f>
        <v>15.81</v>
      </c>
      <c r="K73" s="19">
        <f>115</f>
        <v>115</v>
      </c>
      <c r="L73" s="19">
        <f t="shared" si="28"/>
        <v>-99.19</v>
      </c>
      <c r="M73" s="20">
        <f t="shared" si="29"/>
        <v>0.13747826086956522</v>
      </c>
      <c r="N73" s="21"/>
      <c r="O73" s="19">
        <f>50</f>
        <v>50</v>
      </c>
      <c r="P73" s="19">
        <f t="shared" si="30"/>
        <v>-50</v>
      </c>
      <c r="Q73" s="20">
        <f t="shared" si="31"/>
        <v>0</v>
      </c>
      <c r="R73" s="19">
        <f t="shared" si="32"/>
        <v>32.730000000000004</v>
      </c>
      <c r="S73" s="19">
        <f t="shared" si="33"/>
        <v>395</v>
      </c>
      <c r="T73" s="19">
        <f t="shared" si="34"/>
        <v>-362.27</v>
      </c>
      <c r="U73" s="20">
        <f t="shared" si="35"/>
        <v>8.2860759493670902E-2</v>
      </c>
    </row>
    <row r="74" spans="1:21" s="5" customFormat="1" ht="18" x14ac:dyDescent="0.35">
      <c r="A74" s="10" t="s">
        <v>76</v>
      </c>
      <c r="B74" s="21"/>
      <c r="C74" s="21"/>
      <c r="D74" s="19">
        <f t="shared" si="24"/>
        <v>0</v>
      </c>
      <c r="E74" s="20" t="str">
        <f t="shared" si="25"/>
        <v/>
      </c>
      <c r="F74" s="21"/>
      <c r="G74" s="21"/>
      <c r="H74" s="19">
        <f t="shared" si="26"/>
        <v>0</v>
      </c>
      <c r="I74" s="20" t="str">
        <f t="shared" si="27"/>
        <v/>
      </c>
      <c r="J74" s="21"/>
      <c r="K74" s="21"/>
      <c r="L74" s="19">
        <f t="shared" si="28"/>
        <v>0</v>
      </c>
      <c r="M74" s="20" t="str">
        <f t="shared" si="29"/>
        <v/>
      </c>
      <c r="N74" s="21"/>
      <c r="O74" s="21"/>
      <c r="P74" s="19">
        <f t="shared" si="30"/>
        <v>0</v>
      </c>
      <c r="Q74" s="20" t="str">
        <f t="shared" si="31"/>
        <v/>
      </c>
      <c r="R74" s="19">
        <f t="shared" si="32"/>
        <v>0</v>
      </c>
      <c r="S74" s="19">
        <f t="shared" si="33"/>
        <v>0</v>
      </c>
      <c r="T74" s="19">
        <f t="shared" si="34"/>
        <v>0</v>
      </c>
      <c r="U74" s="20" t="str">
        <f t="shared" si="35"/>
        <v/>
      </c>
    </row>
    <row r="75" spans="1:21" s="5" customFormat="1" ht="18" x14ac:dyDescent="0.35">
      <c r="A75" s="10" t="s">
        <v>77</v>
      </c>
      <c r="B75" s="21"/>
      <c r="C75" s="19">
        <f>0</f>
        <v>0</v>
      </c>
      <c r="D75" s="19">
        <f t="shared" si="24"/>
        <v>0</v>
      </c>
      <c r="E75" s="20" t="str">
        <f t="shared" si="25"/>
        <v/>
      </c>
      <c r="F75" s="21"/>
      <c r="G75" s="19">
        <f>0</f>
        <v>0</v>
      </c>
      <c r="H75" s="19">
        <f t="shared" si="26"/>
        <v>0</v>
      </c>
      <c r="I75" s="20" t="str">
        <f t="shared" si="27"/>
        <v/>
      </c>
      <c r="J75" s="21"/>
      <c r="K75" s="19">
        <f>0</f>
        <v>0</v>
      </c>
      <c r="L75" s="19">
        <f t="shared" si="28"/>
        <v>0</v>
      </c>
      <c r="M75" s="20" t="str">
        <f t="shared" si="29"/>
        <v/>
      </c>
      <c r="N75" s="21"/>
      <c r="O75" s="19">
        <f>800</f>
        <v>800</v>
      </c>
      <c r="P75" s="19">
        <f t="shared" si="30"/>
        <v>-800</v>
      </c>
      <c r="Q75" s="20">
        <f t="shared" si="31"/>
        <v>0</v>
      </c>
      <c r="R75" s="19">
        <f t="shared" si="32"/>
        <v>0</v>
      </c>
      <c r="S75" s="19">
        <f t="shared" si="33"/>
        <v>800</v>
      </c>
      <c r="T75" s="19">
        <f t="shared" si="34"/>
        <v>-800</v>
      </c>
      <c r="U75" s="20">
        <f t="shared" si="35"/>
        <v>0</v>
      </c>
    </row>
    <row r="76" spans="1:21" s="5" customFormat="1" ht="18" x14ac:dyDescent="0.35">
      <c r="A76" s="10" t="s">
        <v>78</v>
      </c>
      <c r="B76" s="21"/>
      <c r="C76" s="19">
        <f>0</f>
        <v>0</v>
      </c>
      <c r="D76" s="19">
        <f t="shared" si="24"/>
        <v>0</v>
      </c>
      <c r="E76" s="20" t="str">
        <f t="shared" si="25"/>
        <v/>
      </c>
      <c r="F76" s="21"/>
      <c r="G76" s="19">
        <f>0</f>
        <v>0</v>
      </c>
      <c r="H76" s="19">
        <f t="shared" si="26"/>
        <v>0</v>
      </c>
      <c r="I76" s="20" t="str">
        <f t="shared" si="27"/>
        <v/>
      </c>
      <c r="J76" s="21"/>
      <c r="K76" s="19">
        <f>0</f>
        <v>0</v>
      </c>
      <c r="L76" s="19">
        <f t="shared" si="28"/>
        <v>0</v>
      </c>
      <c r="M76" s="20" t="str">
        <f t="shared" si="29"/>
        <v/>
      </c>
      <c r="N76" s="21"/>
      <c r="O76" s="19">
        <f>460</f>
        <v>460</v>
      </c>
      <c r="P76" s="19">
        <f t="shared" si="30"/>
        <v>-460</v>
      </c>
      <c r="Q76" s="20">
        <f t="shared" si="31"/>
        <v>0</v>
      </c>
      <c r="R76" s="19">
        <f t="shared" si="32"/>
        <v>0</v>
      </c>
      <c r="S76" s="19">
        <f t="shared" si="33"/>
        <v>460</v>
      </c>
      <c r="T76" s="19">
        <f t="shared" si="34"/>
        <v>-460</v>
      </c>
      <c r="U76" s="20">
        <f t="shared" si="35"/>
        <v>0</v>
      </c>
    </row>
    <row r="77" spans="1:21" s="5" customFormat="1" ht="18" x14ac:dyDescent="0.35">
      <c r="A77" s="10" t="s">
        <v>79</v>
      </c>
      <c r="B77" s="21"/>
      <c r="C77" s="19">
        <f>0</f>
        <v>0</v>
      </c>
      <c r="D77" s="19">
        <f t="shared" si="24"/>
        <v>0</v>
      </c>
      <c r="E77" s="20" t="str">
        <f t="shared" si="25"/>
        <v/>
      </c>
      <c r="F77" s="21"/>
      <c r="G77" s="19">
        <f>0</f>
        <v>0</v>
      </c>
      <c r="H77" s="19">
        <f t="shared" si="26"/>
        <v>0</v>
      </c>
      <c r="I77" s="20" t="str">
        <f t="shared" si="27"/>
        <v/>
      </c>
      <c r="J77" s="21"/>
      <c r="K77" s="19">
        <f>0</f>
        <v>0</v>
      </c>
      <c r="L77" s="19">
        <f t="shared" si="28"/>
        <v>0</v>
      </c>
      <c r="M77" s="20" t="str">
        <f t="shared" si="29"/>
        <v/>
      </c>
      <c r="N77" s="21"/>
      <c r="O77" s="19">
        <f>4000</f>
        <v>4000</v>
      </c>
      <c r="P77" s="19">
        <f t="shared" si="30"/>
        <v>-4000</v>
      </c>
      <c r="Q77" s="20">
        <f t="shared" si="31"/>
        <v>0</v>
      </c>
      <c r="R77" s="19">
        <f t="shared" si="32"/>
        <v>0</v>
      </c>
      <c r="S77" s="19">
        <f t="shared" si="33"/>
        <v>4000</v>
      </c>
      <c r="T77" s="19">
        <f t="shared" si="34"/>
        <v>-4000</v>
      </c>
      <c r="U77" s="20">
        <f t="shared" si="35"/>
        <v>0</v>
      </c>
    </row>
    <row r="78" spans="1:21" s="5" customFormat="1" ht="18" x14ac:dyDescent="0.35">
      <c r="A78" s="10" t="s">
        <v>80</v>
      </c>
      <c r="B78" s="21"/>
      <c r="C78" s="19">
        <f>0</f>
        <v>0</v>
      </c>
      <c r="D78" s="19">
        <f t="shared" si="24"/>
        <v>0</v>
      </c>
      <c r="E78" s="20" t="str">
        <f t="shared" si="25"/>
        <v/>
      </c>
      <c r="F78" s="21"/>
      <c r="G78" s="19">
        <f>0</f>
        <v>0</v>
      </c>
      <c r="H78" s="19">
        <f t="shared" si="26"/>
        <v>0</v>
      </c>
      <c r="I78" s="20" t="str">
        <f t="shared" si="27"/>
        <v/>
      </c>
      <c r="J78" s="19">
        <f>1000</f>
        <v>1000</v>
      </c>
      <c r="K78" s="19">
        <f>0</f>
        <v>0</v>
      </c>
      <c r="L78" s="19">
        <f t="shared" si="28"/>
        <v>1000</v>
      </c>
      <c r="M78" s="20" t="str">
        <f t="shared" si="29"/>
        <v/>
      </c>
      <c r="N78" s="21"/>
      <c r="O78" s="19">
        <f>2950</f>
        <v>2950</v>
      </c>
      <c r="P78" s="19">
        <f t="shared" si="30"/>
        <v>-2950</v>
      </c>
      <c r="Q78" s="20">
        <f t="shared" si="31"/>
        <v>0</v>
      </c>
      <c r="R78" s="19">
        <f t="shared" si="32"/>
        <v>1000</v>
      </c>
      <c r="S78" s="19">
        <f t="shared" si="33"/>
        <v>2950</v>
      </c>
      <c r="T78" s="19">
        <f t="shared" si="34"/>
        <v>-1950</v>
      </c>
      <c r="U78" s="20">
        <f t="shared" si="35"/>
        <v>0.33898305084745761</v>
      </c>
    </row>
    <row r="79" spans="1:21" s="5" customFormat="1" ht="18" x14ac:dyDescent="0.35">
      <c r="A79" s="10" t="s">
        <v>81</v>
      </c>
      <c r="B79" s="21"/>
      <c r="C79" s="19">
        <f>0</f>
        <v>0</v>
      </c>
      <c r="D79" s="19">
        <f t="shared" si="24"/>
        <v>0</v>
      </c>
      <c r="E79" s="20" t="str">
        <f t="shared" si="25"/>
        <v/>
      </c>
      <c r="F79" s="21"/>
      <c r="G79" s="19">
        <f>0</f>
        <v>0</v>
      </c>
      <c r="H79" s="19">
        <f t="shared" si="26"/>
        <v>0</v>
      </c>
      <c r="I79" s="20" t="str">
        <f t="shared" si="27"/>
        <v/>
      </c>
      <c r="J79" s="21"/>
      <c r="K79" s="19">
        <f>0</f>
        <v>0</v>
      </c>
      <c r="L79" s="19">
        <f t="shared" si="28"/>
        <v>0</v>
      </c>
      <c r="M79" s="20" t="str">
        <f t="shared" si="29"/>
        <v/>
      </c>
      <c r="N79" s="21"/>
      <c r="O79" s="19">
        <f>900</f>
        <v>900</v>
      </c>
      <c r="P79" s="19">
        <f t="shared" si="30"/>
        <v>-900</v>
      </c>
      <c r="Q79" s="20">
        <f t="shared" si="31"/>
        <v>0</v>
      </c>
      <c r="R79" s="19">
        <f t="shared" si="32"/>
        <v>0</v>
      </c>
      <c r="S79" s="19">
        <f t="shared" si="33"/>
        <v>900</v>
      </c>
      <c r="T79" s="19">
        <f t="shared" si="34"/>
        <v>-900</v>
      </c>
      <c r="U79" s="20">
        <f t="shared" si="35"/>
        <v>0</v>
      </c>
    </row>
    <row r="80" spans="1:21" s="5" customFormat="1" ht="18" x14ac:dyDescent="0.35">
      <c r="A80" s="10" t="s">
        <v>82</v>
      </c>
      <c r="B80" s="21"/>
      <c r="C80" s="19">
        <f>0</f>
        <v>0</v>
      </c>
      <c r="D80" s="19">
        <f t="shared" si="24"/>
        <v>0</v>
      </c>
      <c r="E80" s="20" t="str">
        <f t="shared" si="25"/>
        <v/>
      </c>
      <c r="F80" s="21"/>
      <c r="G80" s="19">
        <f>0</f>
        <v>0</v>
      </c>
      <c r="H80" s="19">
        <f t="shared" si="26"/>
        <v>0</v>
      </c>
      <c r="I80" s="20" t="str">
        <f t="shared" si="27"/>
        <v/>
      </c>
      <c r="J80" s="21"/>
      <c r="K80" s="19">
        <f>0</f>
        <v>0</v>
      </c>
      <c r="L80" s="19">
        <f t="shared" si="28"/>
        <v>0</v>
      </c>
      <c r="M80" s="20" t="str">
        <f t="shared" si="29"/>
        <v/>
      </c>
      <c r="N80" s="21"/>
      <c r="O80" s="19">
        <f>500</f>
        <v>500</v>
      </c>
      <c r="P80" s="19">
        <f t="shared" si="30"/>
        <v>-500</v>
      </c>
      <c r="Q80" s="20">
        <f t="shared" si="31"/>
        <v>0</v>
      </c>
      <c r="R80" s="19">
        <f t="shared" si="32"/>
        <v>0</v>
      </c>
      <c r="S80" s="19">
        <f t="shared" si="33"/>
        <v>500</v>
      </c>
      <c r="T80" s="19">
        <f t="shared" si="34"/>
        <v>-500</v>
      </c>
      <c r="U80" s="20">
        <f t="shared" si="35"/>
        <v>0</v>
      </c>
    </row>
    <row r="81" spans="1:21" s="5" customFormat="1" ht="18" x14ac:dyDescent="0.35">
      <c r="A81" s="10" t="s">
        <v>83</v>
      </c>
      <c r="B81" s="21"/>
      <c r="C81" s="19">
        <f>0</f>
        <v>0</v>
      </c>
      <c r="D81" s="19">
        <f t="shared" si="24"/>
        <v>0</v>
      </c>
      <c r="E81" s="20" t="str">
        <f t="shared" si="25"/>
        <v/>
      </c>
      <c r="F81" s="21"/>
      <c r="G81" s="19">
        <f>0</f>
        <v>0</v>
      </c>
      <c r="H81" s="19">
        <f t="shared" si="26"/>
        <v>0</v>
      </c>
      <c r="I81" s="20" t="str">
        <f t="shared" si="27"/>
        <v/>
      </c>
      <c r="J81" s="21"/>
      <c r="K81" s="19">
        <f>0</f>
        <v>0</v>
      </c>
      <c r="L81" s="19">
        <f t="shared" si="28"/>
        <v>0</v>
      </c>
      <c r="M81" s="20" t="str">
        <f t="shared" si="29"/>
        <v/>
      </c>
      <c r="N81" s="21"/>
      <c r="O81" s="19">
        <f>335</f>
        <v>335</v>
      </c>
      <c r="P81" s="19">
        <f t="shared" si="30"/>
        <v>-335</v>
      </c>
      <c r="Q81" s="20">
        <f t="shared" si="31"/>
        <v>0</v>
      </c>
      <c r="R81" s="19">
        <f t="shared" si="32"/>
        <v>0</v>
      </c>
      <c r="S81" s="19">
        <f t="shared" si="33"/>
        <v>335</v>
      </c>
      <c r="T81" s="19">
        <f t="shared" si="34"/>
        <v>-335</v>
      </c>
      <c r="U81" s="20">
        <f t="shared" si="35"/>
        <v>0</v>
      </c>
    </row>
    <row r="82" spans="1:21" s="5" customFormat="1" ht="18" x14ac:dyDescent="0.35">
      <c r="A82" s="10" t="s">
        <v>84</v>
      </c>
      <c r="B82" s="21"/>
      <c r="C82" s="19">
        <f>0</f>
        <v>0</v>
      </c>
      <c r="D82" s="19">
        <f t="shared" si="24"/>
        <v>0</v>
      </c>
      <c r="E82" s="20" t="str">
        <f t="shared" si="25"/>
        <v/>
      </c>
      <c r="F82" s="21"/>
      <c r="G82" s="19">
        <f>0</f>
        <v>0</v>
      </c>
      <c r="H82" s="19">
        <f t="shared" si="26"/>
        <v>0</v>
      </c>
      <c r="I82" s="20" t="str">
        <f t="shared" si="27"/>
        <v/>
      </c>
      <c r="J82" s="21"/>
      <c r="K82" s="19">
        <f>0</f>
        <v>0</v>
      </c>
      <c r="L82" s="19">
        <f t="shared" si="28"/>
        <v>0</v>
      </c>
      <c r="M82" s="20" t="str">
        <f t="shared" si="29"/>
        <v/>
      </c>
      <c r="N82" s="21"/>
      <c r="O82" s="19">
        <f>200</f>
        <v>200</v>
      </c>
      <c r="P82" s="19">
        <f t="shared" si="30"/>
        <v>-200</v>
      </c>
      <c r="Q82" s="20">
        <f t="shared" si="31"/>
        <v>0</v>
      </c>
      <c r="R82" s="19">
        <f t="shared" si="32"/>
        <v>0</v>
      </c>
      <c r="S82" s="19">
        <f t="shared" si="33"/>
        <v>200</v>
      </c>
      <c r="T82" s="19">
        <f t="shared" si="34"/>
        <v>-200</v>
      </c>
      <c r="U82" s="20">
        <f t="shared" si="35"/>
        <v>0</v>
      </c>
    </row>
    <row r="83" spans="1:21" s="5" customFormat="1" ht="18" x14ac:dyDescent="0.35">
      <c r="A83" s="10" t="s">
        <v>85</v>
      </c>
      <c r="B83" s="21"/>
      <c r="C83" s="19">
        <f>0</f>
        <v>0</v>
      </c>
      <c r="D83" s="19">
        <f t="shared" si="24"/>
        <v>0</v>
      </c>
      <c r="E83" s="20" t="str">
        <f t="shared" si="25"/>
        <v/>
      </c>
      <c r="F83" s="21"/>
      <c r="G83" s="19">
        <f>0</f>
        <v>0</v>
      </c>
      <c r="H83" s="19">
        <f t="shared" si="26"/>
        <v>0</v>
      </c>
      <c r="I83" s="20" t="str">
        <f t="shared" si="27"/>
        <v/>
      </c>
      <c r="J83" s="21"/>
      <c r="K83" s="19">
        <f>0</f>
        <v>0</v>
      </c>
      <c r="L83" s="19">
        <f t="shared" si="28"/>
        <v>0</v>
      </c>
      <c r="M83" s="20" t="str">
        <f t="shared" si="29"/>
        <v/>
      </c>
      <c r="N83" s="21"/>
      <c r="O83" s="19">
        <f>375</f>
        <v>375</v>
      </c>
      <c r="P83" s="19">
        <f t="shared" si="30"/>
        <v>-375</v>
      </c>
      <c r="Q83" s="20">
        <f t="shared" si="31"/>
        <v>0</v>
      </c>
      <c r="R83" s="19">
        <f t="shared" si="32"/>
        <v>0</v>
      </c>
      <c r="S83" s="19">
        <f t="shared" si="33"/>
        <v>375</v>
      </c>
      <c r="T83" s="19">
        <f t="shared" si="34"/>
        <v>-375</v>
      </c>
      <c r="U83" s="20">
        <f t="shared" si="35"/>
        <v>0</v>
      </c>
    </row>
    <row r="84" spans="1:21" s="5" customFormat="1" ht="18" x14ac:dyDescent="0.35">
      <c r="A84" s="10" t="s">
        <v>86</v>
      </c>
      <c r="B84" s="21"/>
      <c r="C84" s="19">
        <f>0</f>
        <v>0</v>
      </c>
      <c r="D84" s="19">
        <f t="shared" si="24"/>
        <v>0</v>
      </c>
      <c r="E84" s="20" t="str">
        <f t="shared" si="25"/>
        <v/>
      </c>
      <c r="F84" s="21"/>
      <c r="G84" s="19">
        <f>0</f>
        <v>0</v>
      </c>
      <c r="H84" s="19">
        <f t="shared" si="26"/>
        <v>0</v>
      </c>
      <c r="I84" s="20" t="str">
        <f t="shared" si="27"/>
        <v/>
      </c>
      <c r="J84" s="21"/>
      <c r="K84" s="19">
        <f>0</f>
        <v>0</v>
      </c>
      <c r="L84" s="19">
        <f t="shared" si="28"/>
        <v>0</v>
      </c>
      <c r="M84" s="20" t="str">
        <f t="shared" si="29"/>
        <v/>
      </c>
      <c r="N84" s="21"/>
      <c r="O84" s="19">
        <f>340</f>
        <v>340</v>
      </c>
      <c r="P84" s="19">
        <f t="shared" si="30"/>
        <v>-340</v>
      </c>
      <c r="Q84" s="20">
        <f t="shared" si="31"/>
        <v>0</v>
      </c>
      <c r="R84" s="19">
        <f t="shared" si="32"/>
        <v>0</v>
      </c>
      <c r="S84" s="19">
        <f t="shared" si="33"/>
        <v>340</v>
      </c>
      <c r="T84" s="19">
        <f t="shared" si="34"/>
        <v>-340</v>
      </c>
      <c r="U84" s="20">
        <f t="shared" si="35"/>
        <v>0</v>
      </c>
    </row>
    <row r="85" spans="1:21" s="5" customFormat="1" ht="18" x14ac:dyDescent="0.35">
      <c r="A85" s="10" t="s">
        <v>87</v>
      </c>
      <c r="B85" s="11"/>
      <c r="C85" s="12">
        <f>0</f>
        <v>0</v>
      </c>
      <c r="D85" s="12">
        <f t="shared" si="24"/>
        <v>0</v>
      </c>
      <c r="E85" s="13" t="str">
        <f t="shared" si="25"/>
        <v/>
      </c>
      <c r="F85" s="12">
        <f>74.56</f>
        <v>74.56</v>
      </c>
      <c r="G85" s="12">
        <f>0</f>
        <v>0</v>
      </c>
      <c r="H85" s="12">
        <f t="shared" si="26"/>
        <v>74.56</v>
      </c>
      <c r="I85" s="13" t="str">
        <f t="shared" si="27"/>
        <v/>
      </c>
      <c r="J85" s="12">
        <f>154.44</f>
        <v>154.44</v>
      </c>
      <c r="K85" s="12">
        <f>0</f>
        <v>0</v>
      </c>
      <c r="L85" s="12">
        <f t="shared" si="28"/>
        <v>154.44</v>
      </c>
      <c r="M85" s="13" t="str">
        <f t="shared" si="29"/>
        <v/>
      </c>
      <c r="N85" s="11"/>
      <c r="O85" s="12">
        <f>230</f>
        <v>230</v>
      </c>
      <c r="P85" s="12">
        <f t="shared" si="30"/>
        <v>-230</v>
      </c>
      <c r="Q85" s="13">
        <f t="shared" si="31"/>
        <v>0</v>
      </c>
      <c r="R85" s="12">
        <f t="shared" si="32"/>
        <v>229</v>
      </c>
      <c r="S85" s="12">
        <f t="shared" si="33"/>
        <v>230</v>
      </c>
      <c r="T85" s="12">
        <f t="shared" si="34"/>
        <v>-1</v>
      </c>
      <c r="U85" s="13">
        <f t="shared" si="35"/>
        <v>0.9956521739130435</v>
      </c>
    </row>
    <row r="86" spans="1:21" s="5" customFormat="1" ht="18" x14ac:dyDescent="0.35">
      <c r="A86" s="10" t="s">
        <v>88</v>
      </c>
      <c r="B86" s="14">
        <f>(((((((((((B74)+(B75))+(B76))+(B77))+(B78))+(B79))+(B80))+(B81))+(B82))+(B83))+(B84))+(B85)</f>
        <v>0</v>
      </c>
      <c r="C86" s="14">
        <f>(((((((((((C74)+(C75))+(C76))+(C77))+(C78))+(C79))+(C80))+(C81))+(C82))+(C83))+(C84))+(C85)</f>
        <v>0</v>
      </c>
      <c r="D86" s="14">
        <f t="shared" si="24"/>
        <v>0</v>
      </c>
      <c r="E86" s="15" t="str">
        <f t="shared" si="25"/>
        <v/>
      </c>
      <c r="F86" s="14">
        <f>(((((((((((F74)+(F75))+(F76))+(F77))+(F78))+(F79))+(F80))+(F81))+(F82))+(F83))+(F84))+(F85)</f>
        <v>74.56</v>
      </c>
      <c r="G86" s="14">
        <f>(((((((((((G74)+(G75))+(G76))+(G77))+(G78))+(G79))+(G80))+(G81))+(G82))+(G83))+(G84))+(G85)</f>
        <v>0</v>
      </c>
      <c r="H86" s="14">
        <f t="shared" si="26"/>
        <v>74.56</v>
      </c>
      <c r="I86" s="15" t="str">
        <f t="shared" si="27"/>
        <v/>
      </c>
      <c r="J86" s="14">
        <f>(((((((((((J74)+(J75))+(J76))+(J77))+(J78))+(J79))+(J80))+(J81))+(J82))+(J83))+(J84))+(J85)</f>
        <v>1154.44</v>
      </c>
      <c r="K86" s="14">
        <f>(((((((((((K74)+(K75))+(K76))+(K77))+(K78))+(K79))+(K80))+(K81))+(K82))+(K83))+(K84))+(K85)</f>
        <v>0</v>
      </c>
      <c r="L86" s="14">
        <f t="shared" si="28"/>
        <v>1154.44</v>
      </c>
      <c r="M86" s="15" t="str">
        <f t="shared" si="29"/>
        <v/>
      </c>
      <c r="N86" s="14">
        <f>(((((((((((N74)+(N75))+(N76))+(N77))+(N78))+(N79))+(N80))+(N81))+(N82))+(N83))+(N84))+(N85)</f>
        <v>0</v>
      </c>
      <c r="O86" s="14">
        <f>(((((((((((O74)+(O75))+(O76))+(O77))+(O78))+(O79))+(O80))+(O81))+(O82))+(O83))+(O84))+(O85)</f>
        <v>11090</v>
      </c>
      <c r="P86" s="14">
        <f t="shared" si="30"/>
        <v>-11090</v>
      </c>
      <c r="Q86" s="15">
        <f t="shared" si="31"/>
        <v>0</v>
      </c>
      <c r="R86" s="14">
        <f t="shared" si="32"/>
        <v>1229</v>
      </c>
      <c r="S86" s="14">
        <f t="shared" si="33"/>
        <v>11090</v>
      </c>
      <c r="T86" s="14">
        <f t="shared" si="34"/>
        <v>-9861</v>
      </c>
      <c r="U86" s="15">
        <f t="shared" si="35"/>
        <v>0.11082055906221822</v>
      </c>
    </row>
    <row r="87" spans="1:21" s="5" customFormat="1" ht="35.4" x14ac:dyDescent="0.35">
      <c r="A87" s="10" t="s">
        <v>89</v>
      </c>
      <c r="B87" s="21"/>
      <c r="C87" s="21"/>
      <c r="D87" s="19">
        <f t="shared" si="24"/>
        <v>0</v>
      </c>
      <c r="E87" s="20" t="str">
        <f t="shared" si="25"/>
        <v/>
      </c>
      <c r="F87" s="21"/>
      <c r="G87" s="21"/>
      <c r="H87" s="19">
        <f t="shared" si="26"/>
        <v>0</v>
      </c>
      <c r="I87" s="20" t="str">
        <f t="shared" si="27"/>
        <v/>
      </c>
      <c r="J87" s="21"/>
      <c r="K87" s="21"/>
      <c r="L87" s="19">
        <f t="shared" si="28"/>
        <v>0</v>
      </c>
      <c r="M87" s="20" t="str">
        <f t="shared" si="29"/>
        <v/>
      </c>
      <c r="N87" s="21"/>
      <c r="O87" s="21"/>
      <c r="P87" s="19">
        <f t="shared" si="30"/>
        <v>0</v>
      </c>
      <c r="Q87" s="20" t="str">
        <f t="shared" si="31"/>
        <v/>
      </c>
      <c r="R87" s="19">
        <f t="shared" si="32"/>
        <v>0</v>
      </c>
      <c r="S87" s="19">
        <f t="shared" si="33"/>
        <v>0</v>
      </c>
      <c r="T87" s="19">
        <f t="shared" si="34"/>
        <v>0</v>
      </c>
      <c r="U87" s="20" t="str">
        <f t="shared" si="35"/>
        <v/>
      </c>
    </row>
    <row r="88" spans="1:21" s="5" customFormat="1" ht="18" x14ac:dyDescent="0.35">
      <c r="A88" s="10" t="s">
        <v>90</v>
      </c>
      <c r="B88" s="19">
        <f>1192.3</f>
        <v>1192.3</v>
      </c>
      <c r="C88" s="19">
        <f>1800</f>
        <v>1800</v>
      </c>
      <c r="D88" s="19">
        <f t="shared" si="24"/>
        <v>-607.70000000000005</v>
      </c>
      <c r="E88" s="20">
        <f t="shared" si="25"/>
        <v>0.66238888888888892</v>
      </c>
      <c r="F88" s="21"/>
      <c r="G88" s="19">
        <f>0</f>
        <v>0</v>
      </c>
      <c r="H88" s="19">
        <f t="shared" si="26"/>
        <v>0</v>
      </c>
      <c r="I88" s="20" t="str">
        <f t="shared" si="27"/>
        <v/>
      </c>
      <c r="J88" s="21"/>
      <c r="K88" s="19">
        <f>0</f>
        <v>0</v>
      </c>
      <c r="L88" s="19">
        <f t="shared" si="28"/>
        <v>0</v>
      </c>
      <c r="M88" s="20" t="str">
        <f t="shared" si="29"/>
        <v/>
      </c>
      <c r="N88" s="21"/>
      <c r="O88" s="19">
        <f>0</f>
        <v>0</v>
      </c>
      <c r="P88" s="19">
        <f t="shared" si="30"/>
        <v>0</v>
      </c>
      <c r="Q88" s="20" t="str">
        <f t="shared" si="31"/>
        <v/>
      </c>
      <c r="R88" s="19">
        <f t="shared" si="32"/>
        <v>1192.3</v>
      </c>
      <c r="S88" s="19">
        <f t="shared" si="33"/>
        <v>1800</v>
      </c>
      <c r="T88" s="19">
        <f t="shared" si="34"/>
        <v>-607.70000000000005</v>
      </c>
      <c r="U88" s="20">
        <f t="shared" si="35"/>
        <v>0.66238888888888892</v>
      </c>
    </row>
    <row r="89" spans="1:21" s="5" customFormat="1" ht="18" x14ac:dyDescent="0.35">
      <c r="A89" s="10" t="s">
        <v>91</v>
      </c>
      <c r="B89" s="19">
        <f>1075.96</f>
        <v>1075.96</v>
      </c>
      <c r="C89" s="19">
        <f>1200</f>
        <v>1200</v>
      </c>
      <c r="D89" s="19">
        <f t="shared" si="24"/>
        <v>-124.03999999999996</v>
      </c>
      <c r="E89" s="20">
        <f t="shared" si="25"/>
        <v>0.89663333333333339</v>
      </c>
      <c r="F89" s="21"/>
      <c r="G89" s="19">
        <f>0</f>
        <v>0</v>
      </c>
      <c r="H89" s="19">
        <f t="shared" si="26"/>
        <v>0</v>
      </c>
      <c r="I89" s="20" t="str">
        <f t="shared" si="27"/>
        <v/>
      </c>
      <c r="J89" s="21"/>
      <c r="K89" s="19">
        <f>0</f>
        <v>0</v>
      </c>
      <c r="L89" s="19">
        <f t="shared" si="28"/>
        <v>0</v>
      </c>
      <c r="M89" s="20" t="str">
        <f t="shared" si="29"/>
        <v/>
      </c>
      <c r="N89" s="21"/>
      <c r="O89" s="19">
        <f>0</f>
        <v>0</v>
      </c>
      <c r="P89" s="19">
        <f t="shared" si="30"/>
        <v>0</v>
      </c>
      <c r="Q89" s="20" t="str">
        <f t="shared" si="31"/>
        <v/>
      </c>
      <c r="R89" s="19">
        <f t="shared" si="32"/>
        <v>1075.96</v>
      </c>
      <c r="S89" s="19">
        <f t="shared" si="33"/>
        <v>1200</v>
      </c>
      <c r="T89" s="19">
        <f t="shared" si="34"/>
        <v>-124.03999999999996</v>
      </c>
      <c r="U89" s="20">
        <f t="shared" si="35"/>
        <v>0.89663333333333339</v>
      </c>
    </row>
    <row r="90" spans="1:21" s="5" customFormat="1" ht="35.4" x14ac:dyDescent="0.35">
      <c r="A90" s="10" t="s">
        <v>92</v>
      </c>
      <c r="B90" s="21"/>
      <c r="C90" s="21"/>
      <c r="D90" s="19">
        <f t="shared" si="24"/>
        <v>0</v>
      </c>
      <c r="E90" s="20" t="str">
        <f t="shared" si="25"/>
        <v/>
      </c>
      <c r="F90" s="21"/>
      <c r="G90" s="21"/>
      <c r="H90" s="19">
        <f t="shared" si="26"/>
        <v>0</v>
      </c>
      <c r="I90" s="20" t="str">
        <f t="shared" si="27"/>
        <v/>
      </c>
      <c r="J90" s="21"/>
      <c r="K90" s="21"/>
      <c r="L90" s="19">
        <f t="shared" si="28"/>
        <v>0</v>
      </c>
      <c r="M90" s="20" t="str">
        <f t="shared" si="29"/>
        <v/>
      </c>
      <c r="N90" s="21"/>
      <c r="O90" s="21"/>
      <c r="P90" s="19">
        <f t="shared" si="30"/>
        <v>0</v>
      </c>
      <c r="Q90" s="20" t="str">
        <f t="shared" si="31"/>
        <v/>
      </c>
      <c r="R90" s="19">
        <f t="shared" si="32"/>
        <v>0</v>
      </c>
      <c r="S90" s="19">
        <f t="shared" si="33"/>
        <v>0</v>
      </c>
      <c r="T90" s="19">
        <f t="shared" si="34"/>
        <v>0</v>
      </c>
      <c r="U90" s="20" t="str">
        <f t="shared" si="35"/>
        <v/>
      </c>
    </row>
    <row r="91" spans="1:21" s="5" customFormat="1" ht="35.4" x14ac:dyDescent="0.35">
      <c r="A91" s="10" t="s">
        <v>93</v>
      </c>
      <c r="B91" s="11"/>
      <c r="C91" s="12">
        <f>342</f>
        <v>342</v>
      </c>
      <c r="D91" s="12">
        <f t="shared" si="24"/>
        <v>-342</v>
      </c>
      <c r="E91" s="13">
        <f t="shared" si="25"/>
        <v>0</v>
      </c>
      <c r="F91" s="11"/>
      <c r="G91" s="12">
        <f>0</f>
        <v>0</v>
      </c>
      <c r="H91" s="12">
        <f t="shared" si="26"/>
        <v>0</v>
      </c>
      <c r="I91" s="13" t="str">
        <f t="shared" si="27"/>
        <v/>
      </c>
      <c r="J91" s="11"/>
      <c r="K91" s="12">
        <f>0</f>
        <v>0</v>
      </c>
      <c r="L91" s="12">
        <f t="shared" si="28"/>
        <v>0</v>
      </c>
      <c r="M91" s="13" t="str">
        <f t="shared" si="29"/>
        <v/>
      </c>
      <c r="N91" s="11"/>
      <c r="O91" s="12">
        <f>0</f>
        <v>0</v>
      </c>
      <c r="P91" s="12">
        <f t="shared" si="30"/>
        <v>0</v>
      </c>
      <c r="Q91" s="13" t="str">
        <f t="shared" si="31"/>
        <v/>
      </c>
      <c r="R91" s="12">
        <f t="shared" si="32"/>
        <v>0</v>
      </c>
      <c r="S91" s="12">
        <f t="shared" si="33"/>
        <v>342</v>
      </c>
      <c r="T91" s="12">
        <f t="shared" si="34"/>
        <v>-342</v>
      </c>
      <c r="U91" s="13">
        <f t="shared" si="35"/>
        <v>0</v>
      </c>
    </row>
    <row r="92" spans="1:21" s="5" customFormat="1" ht="35.4" x14ac:dyDescent="0.35">
      <c r="A92" s="10" t="s">
        <v>94</v>
      </c>
      <c r="B92" s="14">
        <f>(B90)+(B91)</f>
        <v>0</v>
      </c>
      <c r="C92" s="14">
        <f>(C90)+(C91)</f>
        <v>342</v>
      </c>
      <c r="D92" s="14">
        <f t="shared" si="24"/>
        <v>-342</v>
      </c>
      <c r="E92" s="15">
        <f t="shared" si="25"/>
        <v>0</v>
      </c>
      <c r="F92" s="14">
        <f>(F90)+(F91)</f>
        <v>0</v>
      </c>
      <c r="G92" s="14">
        <f>(G90)+(G91)</f>
        <v>0</v>
      </c>
      <c r="H92" s="14">
        <f t="shared" si="26"/>
        <v>0</v>
      </c>
      <c r="I92" s="15" t="str">
        <f t="shared" si="27"/>
        <v/>
      </c>
      <c r="J92" s="14">
        <f>(J90)+(J91)</f>
        <v>0</v>
      </c>
      <c r="K92" s="14">
        <f>(K90)+(K91)</f>
        <v>0</v>
      </c>
      <c r="L92" s="14">
        <f t="shared" si="28"/>
        <v>0</v>
      </c>
      <c r="M92" s="15" t="str">
        <f t="shared" si="29"/>
        <v/>
      </c>
      <c r="N92" s="14">
        <f>(N90)+(N91)</f>
        <v>0</v>
      </c>
      <c r="O92" s="14">
        <f>(O90)+(O91)</f>
        <v>0</v>
      </c>
      <c r="P92" s="14">
        <f t="shared" si="30"/>
        <v>0</v>
      </c>
      <c r="Q92" s="15" t="str">
        <f t="shared" si="31"/>
        <v/>
      </c>
      <c r="R92" s="14">
        <f t="shared" si="32"/>
        <v>0</v>
      </c>
      <c r="S92" s="14">
        <f t="shared" si="33"/>
        <v>342</v>
      </c>
      <c r="T92" s="14">
        <f t="shared" si="34"/>
        <v>-342</v>
      </c>
      <c r="U92" s="15">
        <f t="shared" si="35"/>
        <v>0</v>
      </c>
    </row>
    <row r="93" spans="1:21" s="5" customFormat="1" ht="18" x14ac:dyDescent="0.35">
      <c r="A93" s="10" t="s">
        <v>95</v>
      </c>
      <c r="B93" s="19">
        <f>181.89</f>
        <v>181.89</v>
      </c>
      <c r="C93" s="21"/>
      <c r="D93" s="19">
        <f t="shared" si="24"/>
        <v>181.89</v>
      </c>
      <c r="E93" s="20" t="str">
        <f t="shared" si="25"/>
        <v/>
      </c>
      <c r="F93" s="21"/>
      <c r="G93" s="21"/>
      <c r="H93" s="19">
        <f t="shared" si="26"/>
        <v>0</v>
      </c>
      <c r="I93" s="20" t="str">
        <f t="shared" si="27"/>
        <v/>
      </c>
      <c r="J93" s="21"/>
      <c r="K93" s="21"/>
      <c r="L93" s="19">
        <f t="shared" si="28"/>
        <v>0</v>
      </c>
      <c r="M93" s="20" t="str">
        <f t="shared" si="29"/>
        <v/>
      </c>
      <c r="N93" s="21"/>
      <c r="O93" s="21"/>
      <c r="P93" s="19">
        <f t="shared" si="30"/>
        <v>0</v>
      </c>
      <c r="Q93" s="20" t="str">
        <f t="shared" si="31"/>
        <v/>
      </c>
      <c r="R93" s="19">
        <f t="shared" si="32"/>
        <v>181.89</v>
      </c>
      <c r="S93" s="19">
        <f t="shared" si="33"/>
        <v>0</v>
      </c>
      <c r="T93" s="19">
        <f t="shared" si="34"/>
        <v>181.89</v>
      </c>
      <c r="U93" s="20" t="str">
        <f t="shared" si="35"/>
        <v/>
      </c>
    </row>
    <row r="94" spans="1:21" s="5" customFormat="1" ht="18" x14ac:dyDescent="0.35">
      <c r="A94" s="10" t="s">
        <v>96</v>
      </c>
      <c r="B94" s="21"/>
      <c r="C94" s="19">
        <f>0</f>
        <v>0</v>
      </c>
      <c r="D94" s="19">
        <f t="shared" si="24"/>
        <v>0</v>
      </c>
      <c r="E94" s="20" t="str">
        <f t="shared" si="25"/>
        <v/>
      </c>
      <c r="F94" s="19">
        <f>1063.7</f>
        <v>1063.7</v>
      </c>
      <c r="G94" s="19">
        <f>1800</f>
        <v>1800</v>
      </c>
      <c r="H94" s="19">
        <f t="shared" si="26"/>
        <v>-736.3</v>
      </c>
      <c r="I94" s="20">
        <f t="shared" si="27"/>
        <v>0.59094444444444449</v>
      </c>
      <c r="J94" s="21"/>
      <c r="K94" s="19">
        <f>0</f>
        <v>0</v>
      </c>
      <c r="L94" s="19">
        <f t="shared" si="28"/>
        <v>0</v>
      </c>
      <c r="M94" s="20" t="str">
        <f t="shared" si="29"/>
        <v/>
      </c>
      <c r="N94" s="21"/>
      <c r="O94" s="19">
        <f>0</f>
        <v>0</v>
      </c>
      <c r="P94" s="19">
        <f t="shared" si="30"/>
        <v>0</v>
      </c>
      <c r="Q94" s="20" t="str">
        <f t="shared" si="31"/>
        <v/>
      </c>
      <c r="R94" s="19">
        <f t="shared" si="32"/>
        <v>1063.7</v>
      </c>
      <c r="S94" s="19">
        <f t="shared" si="33"/>
        <v>1800</v>
      </c>
      <c r="T94" s="19">
        <f t="shared" si="34"/>
        <v>-736.3</v>
      </c>
      <c r="U94" s="20">
        <f t="shared" si="35"/>
        <v>0.59094444444444449</v>
      </c>
    </row>
    <row r="95" spans="1:21" s="5" customFormat="1" ht="35.4" x14ac:dyDescent="0.35">
      <c r="A95" s="10" t="s">
        <v>97</v>
      </c>
      <c r="B95" s="21"/>
      <c r="C95" s="19">
        <f>0</f>
        <v>0</v>
      </c>
      <c r="D95" s="19">
        <f t="shared" si="24"/>
        <v>0</v>
      </c>
      <c r="E95" s="20" t="str">
        <f t="shared" si="25"/>
        <v/>
      </c>
      <c r="F95" s="19">
        <f>1091.55</f>
        <v>1091.55</v>
      </c>
      <c r="G95" s="19">
        <f>1200</f>
        <v>1200</v>
      </c>
      <c r="H95" s="19">
        <f t="shared" si="26"/>
        <v>-108.45000000000005</v>
      </c>
      <c r="I95" s="20">
        <f t="shared" si="27"/>
        <v>0.90962500000000002</v>
      </c>
      <c r="J95" s="19">
        <f>2098.86</f>
        <v>2098.86</v>
      </c>
      <c r="K95" s="19">
        <f>0</f>
        <v>0</v>
      </c>
      <c r="L95" s="19">
        <f t="shared" si="28"/>
        <v>2098.86</v>
      </c>
      <c r="M95" s="20" t="str">
        <f t="shared" si="29"/>
        <v/>
      </c>
      <c r="N95" s="21"/>
      <c r="O95" s="19">
        <f>0</f>
        <v>0</v>
      </c>
      <c r="P95" s="19">
        <f t="shared" si="30"/>
        <v>0</v>
      </c>
      <c r="Q95" s="20" t="str">
        <f t="shared" si="31"/>
        <v/>
      </c>
      <c r="R95" s="19">
        <f t="shared" si="32"/>
        <v>3190.41</v>
      </c>
      <c r="S95" s="19">
        <f t="shared" si="33"/>
        <v>1200</v>
      </c>
      <c r="T95" s="19">
        <f t="shared" si="34"/>
        <v>1990.4099999999999</v>
      </c>
      <c r="U95" s="20">
        <f t="shared" si="35"/>
        <v>2.6586749999999997</v>
      </c>
    </row>
    <row r="96" spans="1:21" s="5" customFormat="1" ht="35.4" x14ac:dyDescent="0.35">
      <c r="A96" s="10" t="s">
        <v>98</v>
      </c>
      <c r="B96" s="21"/>
      <c r="C96" s="21"/>
      <c r="D96" s="19">
        <f t="shared" si="24"/>
        <v>0</v>
      </c>
      <c r="E96" s="20" t="str">
        <f t="shared" si="25"/>
        <v/>
      </c>
      <c r="F96" s="21"/>
      <c r="G96" s="21"/>
      <c r="H96" s="19">
        <f t="shared" si="26"/>
        <v>0</v>
      </c>
      <c r="I96" s="20" t="str">
        <f t="shared" si="27"/>
        <v/>
      </c>
      <c r="J96" s="21"/>
      <c r="K96" s="21"/>
      <c r="L96" s="19">
        <f t="shared" si="28"/>
        <v>0</v>
      </c>
      <c r="M96" s="20" t="str">
        <f t="shared" si="29"/>
        <v/>
      </c>
      <c r="N96" s="21"/>
      <c r="O96" s="21"/>
      <c r="P96" s="19">
        <f t="shared" si="30"/>
        <v>0</v>
      </c>
      <c r="Q96" s="20" t="str">
        <f t="shared" si="31"/>
        <v/>
      </c>
      <c r="R96" s="19">
        <f t="shared" si="32"/>
        <v>0</v>
      </c>
      <c r="S96" s="19">
        <f t="shared" si="33"/>
        <v>0</v>
      </c>
      <c r="T96" s="19">
        <f t="shared" si="34"/>
        <v>0</v>
      </c>
      <c r="U96" s="20" t="str">
        <f t="shared" si="35"/>
        <v/>
      </c>
    </row>
    <row r="97" spans="1:21" s="5" customFormat="1" ht="35.4" x14ac:dyDescent="0.35">
      <c r="A97" s="10" t="s">
        <v>99</v>
      </c>
      <c r="B97" s="11"/>
      <c r="C97" s="12">
        <f>0</f>
        <v>0</v>
      </c>
      <c r="D97" s="12">
        <f t="shared" si="24"/>
        <v>0</v>
      </c>
      <c r="E97" s="13" t="str">
        <f t="shared" si="25"/>
        <v/>
      </c>
      <c r="F97" s="12">
        <f>293.97</f>
        <v>293.97000000000003</v>
      </c>
      <c r="G97" s="12">
        <f>342</f>
        <v>342</v>
      </c>
      <c r="H97" s="12">
        <f t="shared" si="26"/>
        <v>-48.029999999999973</v>
      </c>
      <c r="I97" s="13">
        <f t="shared" si="27"/>
        <v>0.85956140350877197</v>
      </c>
      <c r="J97" s="11"/>
      <c r="K97" s="12">
        <f>0</f>
        <v>0</v>
      </c>
      <c r="L97" s="12">
        <f t="shared" si="28"/>
        <v>0</v>
      </c>
      <c r="M97" s="13" t="str">
        <f t="shared" si="29"/>
        <v/>
      </c>
      <c r="N97" s="11"/>
      <c r="O97" s="12">
        <f>0</f>
        <v>0</v>
      </c>
      <c r="P97" s="12">
        <f t="shared" si="30"/>
        <v>0</v>
      </c>
      <c r="Q97" s="13" t="str">
        <f t="shared" si="31"/>
        <v/>
      </c>
      <c r="R97" s="12">
        <f t="shared" si="32"/>
        <v>293.97000000000003</v>
      </c>
      <c r="S97" s="12">
        <f t="shared" si="33"/>
        <v>342</v>
      </c>
      <c r="T97" s="12">
        <f t="shared" si="34"/>
        <v>-48.029999999999973</v>
      </c>
      <c r="U97" s="13">
        <f t="shared" si="35"/>
        <v>0.85956140350877197</v>
      </c>
    </row>
    <row r="98" spans="1:21" s="5" customFormat="1" ht="35.4" x14ac:dyDescent="0.35">
      <c r="A98" s="10" t="s">
        <v>100</v>
      </c>
      <c r="B98" s="14">
        <f>(B96)+(B97)</f>
        <v>0</v>
      </c>
      <c r="C98" s="14">
        <f>(C96)+(C97)</f>
        <v>0</v>
      </c>
      <c r="D98" s="14">
        <f t="shared" ref="D98:D129" si="36">(B98)-(C98)</f>
        <v>0</v>
      </c>
      <c r="E98" s="15" t="str">
        <f t="shared" ref="E98:E129" si="37">IF(C98=0,"",(B98)/(C98))</f>
        <v/>
      </c>
      <c r="F98" s="14">
        <f>(F96)+(F97)</f>
        <v>293.97000000000003</v>
      </c>
      <c r="G98" s="14">
        <f>(G96)+(G97)</f>
        <v>342</v>
      </c>
      <c r="H98" s="14">
        <f t="shared" ref="H98:H129" si="38">(F98)-(G98)</f>
        <v>-48.029999999999973</v>
      </c>
      <c r="I98" s="15">
        <f t="shared" ref="I98:I129" si="39">IF(G98=0,"",(F98)/(G98))</f>
        <v>0.85956140350877197</v>
      </c>
      <c r="J98" s="14">
        <f>(J96)+(J97)</f>
        <v>0</v>
      </c>
      <c r="K98" s="14">
        <f>(K96)+(K97)</f>
        <v>0</v>
      </c>
      <c r="L98" s="14">
        <f t="shared" ref="L98:L129" si="40">(J98)-(K98)</f>
        <v>0</v>
      </c>
      <c r="M98" s="15" t="str">
        <f t="shared" ref="M98:M129" si="41">IF(K98=0,"",(J98)/(K98))</f>
        <v/>
      </c>
      <c r="N98" s="14">
        <f>(N96)+(N97)</f>
        <v>0</v>
      </c>
      <c r="O98" s="14">
        <f>(O96)+(O97)</f>
        <v>0</v>
      </c>
      <c r="P98" s="14">
        <f t="shared" ref="P98:P129" si="42">(N98)-(O98)</f>
        <v>0</v>
      </c>
      <c r="Q98" s="15" t="str">
        <f t="shared" ref="Q98:Q129" si="43">IF(O98=0,"",(N98)/(O98))</f>
        <v/>
      </c>
      <c r="R98" s="14">
        <f t="shared" ref="R98:R129" si="44">(((B98)+(F98))+(J98))+(N98)</f>
        <v>293.97000000000003</v>
      </c>
      <c r="S98" s="14">
        <f t="shared" ref="S98:S129" si="45">(((C98)+(G98))+(K98))+(O98)</f>
        <v>342</v>
      </c>
      <c r="T98" s="14">
        <f t="shared" ref="T98:T129" si="46">(R98)-(S98)</f>
        <v>-48.029999999999973</v>
      </c>
      <c r="U98" s="15">
        <f t="shared" ref="U98:U129" si="47">IF(S98=0,"",(R98)/(S98))</f>
        <v>0.85956140350877197</v>
      </c>
    </row>
    <row r="99" spans="1:21" s="5" customFormat="1" ht="18" x14ac:dyDescent="0.35">
      <c r="A99" s="10" t="s">
        <v>101</v>
      </c>
      <c r="B99" s="21"/>
      <c r="C99" s="21"/>
      <c r="D99" s="19">
        <f t="shared" si="36"/>
        <v>0</v>
      </c>
      <c r="E99" s="20" t="str">
        <f t="shared" si="37"/>
        <v/>
      </c>
      <c r="F99" s="19">
        <f>92.95</f>
        <v>92.95</v>
      </c>
      <c r="G99" s="21"/>
      <c r="H99" s="19">
        <f t="shared" si="38"/>
        <v>92.95</v>
      </c>
      <c r="I99" s="20" t="str">
        <f t="shared" si="39"/>
        <v/>
      </c>
      <c r="J99" s="21"/>
      <c r="K99" s="21"/>
      <c r="L99" s="19">
        <f t="shared" si="40"/>
        <v>0</v>
      </c>
      <c r="M99" s="20" t="str">
        <f t="shared" si="41"/>
        <v/>
      </c>
      <c r="N99" s="21"/>
      <c r="O99" s="21"/>
      <c r="P99" s="19">
        <f t="shared" si="42"/>
        <v>0</v>
      </c>
      <c r="Q99" s="20" t="str">
        <f t="shared" si="43"/>
        <v/>
      </c>
      <c r="R99" s="19">
        <f t="shared" si="44"/>
        <v>92.95</v>
      </c>
      <c r="S99" s="19">
        <f t="shared" si="45"/>
        <v>0</v>
      </c>
      <c r="T99" s="19">
        <f t="shared" si="46"/>
        <v>92.95</v>
      </c>
      <c r="U99" s="20" t="str">
        <f t="shared" si="47"/>
        <v/>
      </c>
    </row>
    <row r="100" spans="1:21" s="5" customFormat="1" ht="18" x14ac:dyDescent="0.35">
      <c r="A100" s="10" t="s">
        <v>102</v>
      </c>
      <c r="B100" s="21"/>
      <c r="C100" s="19">
        <f>0</f>
        <v>0</v>
      </c>
      <c r="D100" s="19">
        <f t="shared" si="36"/>
        <v>0</v>
      </c>
      <c r="E100" s="20" t="str">
        <f t="shared" si="37"/>
        <v/>
      </c>
      <c r="F100" s="21"/>
      <c r="G100" s="19">
        <f>0</f>
        <v>0</v>
      </c>
      <c r="H100" s="19">
        <f t="shared" si="38"/>
        <v>0</v>
      </c>
      <c r="I100" s="20" t="str">
        <f t="shared" si="39"/>
        <v/>
      </c>
      <c r="J100" s="19">
        <f>4090.49</f>
        <v>4090.49</v>
      </c>
      <c r="K100" s="19">
        <f>3150</f>
        <v>3150</v>
      </c>
      <c r="L100" s="19">
        <f t="shared" si="40"/>
        <v>940.48999999999978</v>
      </c>
      <c r="M100" s="20">
        <f t="shared" si="41"/>
        <v>1.2985682539682539</v>
      </c>
      <c r="N100" s="21"/>
      <c r="O100" s="19">
        <f>0</f>
        <v>0</v>
      </c>
      <c r="P100" s="19">
        <f t="shared" si="42"/>
        <v>0</v>
      </c>
      <c r="Q100" s="20" t="str">
        <f t="shared" si="43"/>
        <v/>
      </c>
      <c r="R100" s="19">
        <f t="shared" si="44"/>
        <v>4090.49</v>
      </c>
      <c r="S100" s="19">
        <f t="shared" si="45"/>
        <v>3150</v>
      </c>
      <c r="T100" s="19">
        <f t="shared" si="46"/>
        <v>940.48999999999978</v>
      </c>
      <c r="U100" s="20">
        <f t="shared" si="47"/>
        <v>1.2985682539682539</v>
      </c>
    </row>
    <row r="101" spans="1:21" s="5" customFormat="1" ht="35.4" x14ac:dyDescent="0.35">
      <c r="A101" s="10" t="s">
        <v>103</v>
      </c>
      <c r="B101" s="21"/>
      <c r="C101" s="19">
        <f>0</f>
        <v>0</v>
      </c>
      <c r="D101" s="19">
        <f t="shared" si="36"/>
        <v>0</v>
      </c>
      <c r="E101" s="20" t="str">
        <f t="shared" si="37"/>
        <v/>
      </c>
      <c r="F101" s="21"/>
      <c r="G101" s="19">
        <f>0</f>
        <v>0</v>
      </c>
      <c r="H101" s="19">
        <f t="shared" si="38"/>
        <v>0</v>
      </c>
      <c r="I101" s="20" t="str">
        <f t="shared" si="39"/>
        <v/>
      </c>
      <c r="J101" s="21"/>
      <c r="K101" s="19">
        <f>1800</f>
        <v>1800</v>
      </c>
      <c r="L101" s="19">
        <f t="shared" si="40"/>
        <v>-1800</v>
      </c>
      <c r="M101" s="20">
        <f t="shared" si="41"/>
        <v>0</v>
      </c>
      <c r="N101" s="21"/>
      <c r="O101" s="19">
        <f>0</f>
        <v>0</v>
      </c>
      <c r="P101" s="19">
        <f t="shared" si="42"/>
        <v>0</v>
      </c>
      <c r="Q101" s="20" t="str">
        <f t="shared" si="43"/>
        <v/>
      </c>
      <c r="R101" s="19">
        <f t="shared" si="44"/>
        <v>0</v>
      </c>
      <c r="S101" s="19">
        <f t="shared" si="45"/>
        <v>1800</v>
      </c>
      <c r="T101" s="19">
        <f t="shared" si="46"/>
        <v>-1800</v>
      </c>
      <c r="U101" s="20">
        <f t="shared" si="47"/>
        <v>0</v>
      </c>
    </row>
    <row r="102" spans="1:21" s="5" customFormat="1" ht="35.4" x14ac:dyDescent="0.35">
      <c r="A102" s="10" t="s">
        <v>104</v>
      </c>
      <c r="B102" s="21"/>
      <c r="C102" s="21"/>
      <c r="D102" s="19">
        <f t="shared" si="36"/>
        <v>0</v>
      </c>
      <c r="E102" s="20" t="str">
        <f t="shared" si="37"/>
        <v/>
      </c>
      <c r="F102" s="21"/>
      <c r="G102" s="21"/>
      <c r="H102" s="19">
        <f t="shared" si="38"/>
        <v>0</v>
      </c>
      <c r="I102" s="20" t="str">
        <f t="shared" si="39"/>
        <v/>
      </c>
      <c r="J102" s="21"/>
      <c r="K102" s="21"/>
      <c r="L102" s="19">
        <f t="shared" si="40"/>
        <v>0</v>
      </c>
      <c r="M102" s="20" t="str">
        <f t="shared" si="41"/>
        <v/>
      </c>
      <c r="N102" s="21"/>
      <c r="O102" s="21"/>
      <c r="P102" s="19">
        <f t="shared" si="42"/>
        <v>0</v>
      </c>
      <c r="Q102" s="20" t="str">
        <f t="shared" si="43"/>
        <v/>
      </c>
      <c r="R102" s="19">
        <f t="shared" si="44"/>
        <v>0</v>
      </c>
      <c r="S102" s="19">
        <f t="shared" si="45"/>
        <v>0</v>
      </c>
      <c r="T102" s="19">
        <f t="shared" si="46"/>
        <v>0</v>
      </c>
      <c r="U102" s="20" t="str">
        <f t="shared" si="47"/>
        <v/>
      </c>
    </row>
    <row r="103" spans="1:21" s="5" customFormat="1" ht="35.4" x14ac:dyDescent="0.35">
      <c r="A103" s="10" t="s">
        <v>105</v>
      </c>
      <c r="B103" s="11"/>
      <c r="C103" s="12">
        <f>0</f>
        <v>0</v>
      </c>
      <c r="D103" s="12">
        <f t="shared" si="36"/>
        <v>0</v>
      </c>
      <c r="E103" s="13" t="str">
        <f t="shared" si="37"/>
        <v/>
      </c>
      <c r="F103" s="12">
        <f>74.56</f>
        <v>74.56</v>
      </c>
      <c r="G103" s="12">
        <f>0</f>
        <v>0</v>
      </c>
      <c r="H103" s="12">
        <f t="shared" si="38"/>
        <v>74.56</v>
      </c>
      <c r="I103" s="13" t="str">
        <f t="shared" si="39"/>
        <v/>
      </c>
      <c r="J103" s="11"/>
      <c r="K103" s="12">
        <f>342</f>
        <v>342</v>
      </c>
      <c r="L103" s="12">
        <f t="shared" si="40"/>
        <v>-342</v>
      </c>
      <c r="M103" s="13">
        <f t="shared" si="41"/>
        <v>0</v>
      </c>
      <c r="N103" s="11"/>
      <c r="O103" s="12">
        <f>0</f>
        <v>0</v>
      </c>
      <c r="P103" s="12">
        <f t="shared" si="42"/>
        <v>0</v>
      </c>
      <c r="Q103" s="13" t="str">
        <f t="shared" si="43"/>
        <v/>
      </c>
      <c r="R103" s="12">
        <f t="shared" si="44"/>
        <v>74.56</v>
      </c>
      <c r="S103" s="12">
        <f t="shared" si="45"/>
        <v>342</v>
      </c>
      <c r="T103" s="12">
        <f t="shared" si="46"/>
        <v>-267.44</v>
      </c>
      <c r="U103" s="13">
        <f t="shared" si="47"/>
        <v>0.21801169590643277</v>
      </c>
    </row>
    <row r="104" spans="1:21" s="5" customFormat="1" ht="35.4" x14ac:dyDescent="0.35">
      <c r="A104" s="10" t="s">
        <v>106</v>
      </c>
      <c r="B104" s="14">
        <f>(B102)+(B103)</f>
        <v>0</v>
      </c>
      <c r="C104" s="14">
        <f>(C102)+(C103)</f>
        <v>0</v>
      </c>
      <c r="D104" s="14">
        <f t="shared" si="36"/>
        <v>0</v>
      </c>
      <c r="E104" s="15" t="str">
        <f t="shared" si="37"/>
        <v/>
      </c>
      <c r="F104" s="14">
        <f>(F102)+(F103)</f>
        <v>74.56</v>
      </c>
      <c r="G104" s="14">
        <f>(G102)+(G103)</f>
        <v>0</v>
      </c>
      <c r="H104" s="14">
        <f t="shared" si="38"/>
        <v>74.56</v>
      </c>
      <c r="I104" s="15" t="str">
        <f t="shared" si="39"/>
        <v/>
      </c>
      <c r="J104" s="14">
        <f>(J102)+(J103)</f>
        <v>0</v>
      </c>
      <c r="K104" s="14">
        <f>(K102)+(K103)</f>
        <v>342</v>
      </c>
      <c r="L104" s="14">
        <f t="shared" si="40"/>
        <v>-342</v>
      </c>
      <c r="M104" s="15">
        <f t="shared" si="41"/>
        <v>0</v>
      </c>
      <c r="N104" s="14">
        <f>(N102)+(N103)</f>
        <v>0</v>
      </c>
      <c r="O104" s="14">
        <f>(O102)+(O103)</f>
        <v>0</v>
      </c>
      <c r="P104" s="14">
        <f t="shared" si="42"/>
        <v>0</v>
      </c>
      <c r="Q104" s="15" t="str">
        <f t="shared" si="43"/>
        <v/>
      </c>
      <c r="R104" s="14">
        <f t="shared" si="44"/>
        <v>74.56</v>
      </c>
      <c r="S104" s="14">
        <f t="shared" si="45"/>
        <v>342</v>
      </c>
      <c r="T104" s="14">
        <f t="shared" si="46"/>
        <v>-267.44</v>
      </c>
      <c r="U104" s="15">
        <f t="shared" si="47"/>
        <v>0.21801169590643277</v>
      </c>
    </row>
    <row r="105" spans="1:21" s="5" customFormat="1" ht="35.4" x14ac:dyDescent="0.35">
      <c r="A105" s="10" t="s">
        <v>107</v>
      </c>
      <c r="B105" s="14">
        <f>(((((((((((B87)+(B88))+(B89))+(B92))+(B93))+(B94))+(B95))+(B98))+(B99))+(B100))+(B101))+(B104)</f>
        <v>2450.15</v>
      </c>
      <c r="C105" s="14">
        <f>(((((((((((C87)+(C88))+(C89))+(C92))+(C93))+(C94))+(C95))+(C98))+(C99))+(C100))+(C101))+(C104)</f>
        <v>3342</v>
      </c>
      <c r="D105" s="14">
        <f t="shared" si="36"/>
        <v>-891.84999999999991</v>
      </c>
      <c r="E105" s="15">
        <f t="shared" si="37"/>
        <v>0.73313883901855181</v>
      </c>
      <c r="F105" s="14">
        <f>(((((((((((F87)+(F88))+(F89))+(F92))+(F93))+(F94))+(F95))+(F98))+(F99))+(F100))+(F101))+(F104)</f>
        <v>2616.73</v>
      </c>
      <c r="G105" s="14">
        <f>(((((((((((G87)+(G88))+(G89))+(G92))+(G93))+(G94))+(G95))+(G98))+(G99))+(G100))+(G101))+(G104)</f>
        <v>3342</v>
      </c>
      <c r="H105" s="14">
        <f t="shared" si="38"/>
        <v>-725.27</v>
      </c>
      <c r="I105" s="15">
        <f t="shared" si="39"/>
        <v>0.78298324356672655</v>
      </c>
      <c r="J105" s="14">
        <f>(((((((((((J87)+(J88))+(J89))+(J92))+(J93))+(J94))+(J95))+(J98))+(J99))+(J100))+(J101))+(J104)</f>
        <v>6189.35</v>
      </c>
      <c r="K105" s="14">
        <f>(((((((((((K87)+(K88))+(K89))+(K92))+(K93))+(K94))+(K95))+(K98))+(K99))+(K100))+(K101))+(K104)</f>
        <v>5292</v>
      </c>
      <c r="L105" s="14">
        <f t="shared" si="40"/>
        <v>897.35000000000036</v>
      </c>
      <c r="M105" s="15">
        <f t="shared" si="41"/>
        <v>1.1695672713529857</v>
      </c>
      <c r="N105" s="14">
        <f>(((((((((((N87)+(N88))+(N89))+(N92))+(N93))+(N94))+(N95))+(N98))+(N99))+(N100))+(N101))+(N104)</f>
        <v>0</v>
      </c>
      <c r="O105" s="14">
        <f>(((((((((((O87)+(O88))+(O89))+(O92))+(O93))+(O94))+(O95))+(O98))+(O99))+(O100))+(O101))+(O104)</f>
        <v>0</v>
      </c>
      <c r="P105" s="14">
        <f t="shared" si="42"/>
        <v>0</v>
      </c>
      <c r="Q105" s="15" t="str">
        <f t="shared" si="43"/>
        <v/>
      </c>
      <c r="R105" s="14">
        <f t="shared" si="44"/>
        <v>11256.23</v>
      </c>
      <c r="S105" s="14">
        <f t="shared" si="45"/>
        <v>11976</v>
      </c>
      <c r="T105" s="14">
        <f t="shared" si="46"/>
        <v>-719.77000000000044</v>
      </c>
      <c r="U105" s="15">
        <f t="shared" si="47"/>
        <v>0.93989896459585831</v>
      </c>
    </row>
    <row r="106" spans="1:21" s="5" customFormat="1" ht="18" x14ac:dyDescent="0.35">
      <c r="A106" s="10" t="s">
        <v>108</v>
      </c>
      <c r="B106" s="11"/>
      <c r="C106" s="11"/>
      <c r="D106" s="12">
        <f t="shared" si="36"/>
        <v>0</v>
      </c>
      <c r="E106" s="13" t="str">
        <f t="shared" si="37"/>
        <v/>
      </c>
      <c r="F106" s="11"/>
      <c r="G106" s="11"/>
      <c r="H106" s="12">
        <f t="shared" si="38"/>
        <v>0</v>
      </c>
      <c r="I106" s="13" t="str">
        <f t="shared" si="39"/>
        <v/>
      </c>
      <c r="J106" s="11"/>
      <c r="K106" s="11"/>
      <c r="L106" s="12">
        <f t="shared" si="40"/>
        <v>0</v>
      </c>
      <c r="M106" s="13" t="str">
        <f t="shared" si="41"/>
        <v/>
      </c>
      <c r="N106" s="11"/>
      <c r="O106" s="11"/>
      <c r="P106" s="12">
        <f t="shared" si="42"/>
        <v>0</v>
      </c>
      <c r="Q106" s="13" t="str">
        <f t="shared" si="43"/>
        <v/>
      </c>
      <c r="R106" s="12">
        <f t="shared" si="44"/>
        <v>0</v>
      </c>
      <c r="S106" s="12">
        <f t="shared" si="45"/>
        <v>0</v>
      </c>
      <c r="T106" s="12">
        <f t="shared" si="46"/>
        <v>0</v>
      </c>
      <c r="U106" s="13" t="str">
        <f t="shared" si="47"/>
        <v/>
      </c>
    </row>
    <row r="107" spans="1:21" s="5" customFormat="1" ht="35.4" x14ac:dyDescent="0.35">
      <c r="A107" s="10" t="s">
        <v>109</v>
      </c>
      <c r="B107" s="21"/>
      <c r="C107" s="19">
        <f>0</f>
        <v>0</v>
      </c>
      <c r="D107" s="19">
        <f t="shared" si="36"/>
        <v>0</v>
      </c>
      <c r="E107" s="20" t="str">
        <f t="shared" si="37"/>
        <v/>
      </c>
      <c r="F107" s="21"/>
      <c r="G107" s="19">
        <f>0</f>
        <v>0</v>
      </c>
      <c r="H107" s="19">
        <f t="shared" si="38"/>
        <v>0</v>
      </c>
      <c r="I107" s="20" t="str">
        <f t="shared" si="39"/>
        <v/>
      </c>
      <c r="J107" s="21"/>
      <c r="K107" s="19">
        <f>150</f>
        <v>150</v>
      </c>
      <c r="L107" s="19">
        <f t="shared" si="40"/>
        <v>-150</v>
      </c>
      <c r="M107" s="20">
        <f t="shared" si="41"/>
        <v>0</v>
      </c>
      <c r="N107" s="21"/>
      <c r="O107" s="19">
        <f>0</f>
        <v>0</v>
      </c>
      <c r="P107" s="19">
        <f t="shared" si="42"/>
        <v>0</v>
      </c>
      <c r="Q107" s="20" t="str">
        <f t="shared" si="43"/>
        <v/>
      </c>
      <c r="R107" s="19">
        <f t="shared" si="44"/>
        <v>0</v>
      </c>
      <c r="S107" s="19">
        <f t="shared" si="45"/>
        <v>150</v>
      </c>
      <c r="T107" s="19">
        <f t="shared" si="46"/>
        <v>-150</v>
      </c>
      <c r="U107" s="20">
        <f t="shared" si="47"/>
        <v>0</v>
      </c>
    </row>
    <row r="108" spans="1:21" s="5" customFormat="1" ht="18" x14ac:dyDescent="0.35">
      <c r="A108" s="10" t="s">
        <v>110</v>
      </c>
      <c r="B108" s="21"/>
      <c r="C108" s="19">
        <f>0</f>
        <v>0</v>
      </c>
      <c r="D108" s="19">
        <f t="shared" si="36"/>
        <v>0</v>
      </c>
      <c r="E108" s="20" t="str">
        <f t="shared" si="37"/>
        <v/>
      </c>
      <c r="F108" s="21"/>
      <c r="G108" s="19">
        <f>0</f>
        <v>0</v>
      </c>
      <c r="H108" s="19">
        <f t="shared" si="38"/>
        <v>0</v>
      </c>
      <c r="I108" s="20" t="str">
        <f t="shared" si="39"/>
        <v/>
      </c>
      <c r="J108" s="19">
        <f>300</f>
        <v>300</v>
      </c>
      <c r="K108" s="19">
        <f>300</f>
        <v>300</v>
      </c>
      <c r="L108" s="19">
        <f t="shared" si="40"/>
        <v>0</v>
      </c>
      <c r="M108" s="20">
        <f t="shared" si="41"/>
        <v>1</v>
      </c>
      <c r="N108" s="21"/>
      <c r="O108" s="19">
        <f>0</f>
        <v>0</v>
      </c>
      <c r="P108" s="19">
        <f t="shared" si="42"/>
        <v>0</v>
      </c>
      <c r="Q108" s="20" t="str">
        <f t="shared" si="43"/>
        <v/>
      </c>
      <c r="R108" s="19">
        <f t="shared" si="44"/>
        <v>300</v>
      </c>
      <c r="S108" s="19">
        <f t="shared" si="45"/>
        <v>300</v>
      </c>
      <c r="T108" s="19">
        <f t="shared" si="46"/>
        <v>0</v>
      </c>
      <c r="U108" s="20">
        <f t="shared" si="47"/>
        <v>1</v>
      </c>
    </row>
    <row r="109" spans="1:21" s="5" customFormat="1" ht="18" x14ac:dyDescent="0.35">
      <c r="A109" s="10" t="s">
        <v>111</v>
      </c>
      <c r="B109" s="21"/>
      <c r="C109" s="19">
        <f>0</f>
        <v>0</v>
      </c>
      <c r="D109" s="19">
        <f t="shared" si="36"/>
        <v>0</v>
      </c>
      <c r="E109" s="20" t="str">
        <f t="shared" si="37"/>
        <v/>
      </c>
      <c r="F109" s="21"/>
      <c r="G109" s="19">
        <f>0</f>
        <v>0</v>
      </c>
      <c r="H109" s="19">
        <f t="shared" si="38"/>
        <v>0</v>
      </c>
      <c r="I109" s="20" t="str">
        <f t="shared" si="39"/>
        <v/>
      </c>
      <c r="J109" s="19">
        <f>144.52</f>
        <v>144.52000000000001</v>
      </c>
      <c r="K109" s="19">
        <f>150</f>
        <v>150</v>
      </c>
      <c r="L109" s="19">
        <f t="shared" si="40"/>
        <v>-5.4799999999999898</v>
      </c>
      <c r="M109" s="20">
        <f t="shared" si="41"/>
        <v>0.96346666666666669</v>
      </c>
      <c r="N109" s="21"/>
      <c r="O109" s="19">
        <f>0</f>
        <v>0</v>
      </c>
      <c r="P109" s="19">
        <f t="shared" si="42"/>
        <v>0</v>
      </c>
      <c r="Q109" s="20" t="str">
        <f t="shared" si="43"/>
        <v/>
      </c>
      <c r="R109" s="19">
        <f t="shared" si="44"/>
        <v>144.52000000000001</v>
      </c>
      <c r="S109" s="19">
        <f t="shared" si="45"/>
        <v>150</v>
      </c>
      <c r="T109" s="19">
        <f t="shared" si="46"/>
        <v>-5.4799999999999898</v>
      </c>
      <c r="U109" s="20">
        <f t="shared" si="47"/>
        <v>0.96346666666666669</v>
      </c>
    </row>
    <row r="110" spans="1:21" s="5" customFormat="1" ht="18" x14ac:dyDescent="0.35">
      <c r="A110" s="10" t="s">
        <v>112</v>
      </c>
      <c r="B110" s="21"/>
      <c r="C110" s="19">
        <f>0</f>
        <v>0</v>
      </c>
      <c r="D110" s="19">
        <f t="shared" si="36"/>
        <v>0</v>
      </c>
      <c r="E110" s="20" t="str">
        <f t="shared" si="37"/>
        <v/>
      </c>
      <c r="F110" s="21"/>
      <c r="G110" s="19">
        <f>0</f>
        <v>0</v>
      </c>
      <c r="H110" s="19">
        <f t="shared" si="38"/>
        <v>0</v>
      </c>
      <c r="I110" s="20" t="str">
        <f t="shared" si="39"/>
        <v/>
      </c>
      <c r="J110" s="19">
        <f>50</f>
        <v>50</v>
      </c>
      <c r="K110" s="19">
        <f>50</f>
        <v>50</v>
      </c>
      <c r="L110" s="19">
        <f t="shared" si="40"/>
        <v>0</v>
      </c>
      <c r="M110" s="20">
        <f t="shared" si="41"/>
        <v>1</v>
      </c>
      <c r="N110" s="21"/>
      <c r="O110" s="19">
        <f>0</f>
        <v>0</v>
      </c>
      <c r="P110" s="19">
        <f t="shared" si="42"/>
        <v>0</v>
      </c>
      <c r="Q110" s="20" t="str">
        <f t="shared" si="43"/>
        <v/>
      </c>
      <c r="R110" s="19">
        <f t="shared" si="44"/>
        <v>50</v>
      </c>
      <c r="S110" s="19">
        <f t="shared" si="45"/>
        <v>50</v>
      </c>
      <c r="T110" s="19">
        <f t="shared" si="46"/>
        <v>0</v>
      </c>
      <c r="U110" s="20">
        <f t="shared" si="47"/>
        <v>1</v>
      </c>
    </row>
    <row r="111" spans="1:21" s="5" customFormat="1" ht="35.4" x14ac:dyDescent="0.35">
      <c r="A111" s="10" t="s">
        <v>113</v>
      </c>
      <c r="B111" s="11"/>
      <c r="C111" s="12">
        <f>0</f>
        <v>0</v>
      </c>
      <c r="D111" s="12">
        <f t="shared" si="36"/>
        <v>0</v>
      </c>
      <c r="E111" s="13" t="str">
        <f t="shared" si="37"/>
        <v/>
      </c>
      <c r="F111" s="11"/>
      <c r="G111" s="12">
        <f>0</f>
        <v>0</v>
      </c>
      <c r="H111" s="12">
        <f t="shared" si="38"/>
        <v>0</v>
      </c>
      <c r="I111" s="13" t="str">
        <f t="shared" si="39"/>
        <v/>
      </c>
      <c r="J111" s="11"/>
      <c r="K111" s="12">
        <f>2000</f>
        <v>2000</v>
      </c>
      <c r="L111" s="12">
        <f t="shared" si="40"/>
        <v>-2000</v>
      </c>
      <c r="M111" s="13">
        <f t="shared" si="41"/>
        <v>0</v>
      </c>
      <c r="N111" s="11"/>
      <c r="O111" s="12">
        <f>0</f>
        <v>0</v>
      </c>
      <c r="P111" s="12">
        <f t="shared" si="42"/>
        <v>0</v>
      </c>
      <c r="Q111" s="13" t="str">
        <f t="shared" si="43"/>
        <v/>
      </c>
      <c r="R111" s="12">
        <f t="shared" si="44"/>
        <v>0</v>
      </c>
      <c r="S111" s="12">
        <f t="shared" si="45"/>
        <v>2000</v>
      </c>
      <c r="T111" s="12">
        <f t="shared" si="46"/>
        <v>-2000</v>
      </c>
      <c r="U111" s="13">
        <f t="shared" si="47"/>
        <v>0</v>
      </c>
    </row>
    <row r="112" spans="1:21" s="5" customFormat="1" ht="18" x14ac:dyDescent="0.35">
      <c r="A112" s="10" t="s">
        <v>114</v>
      </c>
      <c r="B112" s="14">
        <f>(((((B106)+(B107))+(B108))+(B109))+(B110))+(B111)</f>
        <v>0</v>
      </c>
      <c r="C112" s="14">
        <f>(((((C106)+(C107))+(C108))+(C109))+(C110))+(C111)</f>
        <v>0</v>
      </c>
      <c r="D112" s="14">
        <f t="shared" si="36"/>
        <v>0</v>
      </c>
      <c r="E112" s="15" t="str">
        <f t="shared" si="37"/>
        <v/>
      </c>
      <c r="F112" s="14">
        <f>(((((F106)+(F107))+(F108))+(F109))+(F110))+(F111)</f>
        <v>0</v>
      </c>
      <c r="G112" s="14">
        <f>(((((G106)+(G107))+(G108))+(G109))+(G110))+(G111)</f>
        <v>0</v>
      </c>
      <c r="H112" s="14">
        <f t="shared" si="38"/>
        <v>0</v>
      </c>
      <c r="I112" s="15" t="str">
        <f t="shared" si="39"/>
        <v/>
      </c>
      <c r="J112" s="14">
        <f>(((((J106)+(J107))+(J108))+(J109))+(J110))+(J111)</f>
        <v>494.52</v>
      </c>
      <c r="K112" s="14">
        <f>(((((K106)+(K107))+(K108))+(K109))+(K110))+(K111)</f>
        <v>2650</v>
      </c>
      <c r="L112" s="14">
        <f t="shared" si="40"/>
        <v>-2155.48</v>
      </c>
      <c r="M112" s="15">
        <f t="shared" si="41"/>
        <v>0.18661132075471698</v>
      </c>
      <c r="N112" s="14">
        <f>(((((N106)+(N107))+(N108))+(N109))+(N110))+(N111)</f>
        <v>0</v>
      </c>
      <c r="O112" s="14">
        <f>(((((O106)+(O107))+(O108))+(O109))+(O110))+(O111)</f>
        <v>0</v>
      </c>
      <c r="P112" s="14">
        <f t="shared" si="42"/>
        <v>0</v>
      </c>
      <c r="Q112" s="15" t="str">
        <f t="shared" si="43"/>
        <v/>
      </c>
      <c r="R112" s="14">
        <f t="shared" si="44"/>
        <v>494.52</v>
      </c>
      <c r="S112" s="14">
        <f t="shared" si="45"/>
        <v>2650</v>
      </c>
      <c r="T112" s="14">
        <f t="shared" si="46"/>
        <v>-2155.48</v>
      </c>
      <c r="U112" s="15">
        <f t="shared" si="47"/>
        <v>0.18661132075471698</v>
      </c>
    </row>
    <row r="113" spans="1:21" s="5" customFormat="1" ht="18" x14ac:dyDescent="0.35">
      <c r="A113" s="10" t="s">
        <v>115</v>
      </c>
      <c r="B113" s="11"/>
      <c r="C113" s="11"/>
      <c r="D113" s="12">
        <f t="shared" si="36"/>
        <v>0</v>
      </c>
      <c r="E113" s="13" t="str">
        <f t="shared" si="37"/>
        <v/>
      </c>
      <c r="F113" s="11"/>
      <c r="G113" s="11"/>
      <c r="H113" s="12">
        <f t="shared" si="38"/>
        <v>0</v>
      </c>
      <c r="I113" s="13" t="str">
        <f t="shared" si="39"/>
        <v/>
      </c>
      <c r="J113" s="11"/>
      <c r="K113" s="11"/>
      <c r="L113" s="12">
        <f t="shared" si="40"/>
        <v>0</v>
      </c>
      <c r="M113" s="13" t="str">
        <f t="shared" si="41"/>
        <v/>
      </c>
      <c r="N113" s="11"/>
      <c r="O113" s="11"/>
      <c r="P113" s="12">
        <f t="shared" si="42"/>
        <v>0</v>
      </c>
      <c r="Q113" s="13" t="str">
        <f t="shared" si="43"/>
        <v/>
      </c>
      <c r="R113" s="12">
        <f t="shared" si="44"/>
        <v>0</v>
      </c>
      <c r="S113" s="12">
        <f t="shared" si="45"/>
        <v>0</v>
      </c>
      <c r="T113" s="12">
        <f t="shared" si="46"/>
        <v>0</v>
      </c>
      <c r="U113" s="13" t="str">
        <f t="shared" si="47"/>
        <v/>
      </c>
    </row>
    <row r="114" spans="1:21" s="5" customFormat="1" ht="35.4" x14ac:dyDescent="0.35">
      <c r="A114" s="10" t="s">
        <v>116</v>
      </c>
      <c r="B114" s="21"/>
      <c r="C114" s="19">
        <f>0</f>
        <v>0</v>
      </c>
      <c r="D114" s="19">
        <f t="shared" si="36"/>
        <v>0</v>
      </c>
      <c r="E114" s="20" t="str">
        <f t="shared" si="37"/>
        <v/>
      </c>
      <c r="F114" s="21"/>
      <c r="G114" s="19">
        <f>0</f>
        <v>0</v>
      </c>
      <c r="H114" s="19">
        <f t="shared" si="38"/>
        <v>0</v>
      </c>
      <c r="I114" s="20" t="str">
        <f t="shared" si="39"/>
        <v/>
      </c>
      <c r="J114" s="21"/>
      <c r="K114" s="19">
        <f>150</f>
        <v>150</v>
      </c>
      <c r="L114" s="19">
        <f t="shared" si="40"/>
        <v>-150</v>
      </c>
      <c r="M114" s="20">
        <f t="shared" si="41"/>
        <v>0</v>
      </c>
      <c r="N114" s="21"/>
      <c r="O114" s="19">
        <f>0</f>
        <v>0</v>
      </c>
      <c r="P114" s="19">
        <f t="shared" si="42"/>
        <v>0</v>
      </c>
      <c r="Q114" s="20" t="str">
        <f t="shared" si="43"/>
        <v/>
      </c>
      <c r="R114" s="19">
        <f t="shared" si="44"/>
        <v>0</v>
      </c>
      <c r="S114" s="19">
        <f t="shared" si="45"/>
        <v>150</v>
      </c>
      <c r="T114" s="19">
        <f t="shared" si="46"/>
        <v>-150</v>
      </c>
      <c r="U114" s="20">
        <f t="shared" si="47"/>
        <v>0</v>
      </c>
    </row>
    <row r="115" spans="1:21" s="5" customFormat="1" ht="18" x14ac:dyDescent="0.35">
      <c r="A115" s="10" t="s">
        <v>117</v>
      </c>
      <c r="B115" s="21"/>
      <c r="C115" s="19">
        <f>0</f>
        <v>0</v>
      </c>
      <c r="D115" s="19">
        <f t="shared" si="36"/>
        <v>0</v>
      </c>
      <c r="E115" s="20" t="str">
        <f t="shared" si="37"/>
        <v/>
      </c>
      <c r="F115" s="21"/>
      <c r="G115" s="19">
        <f>0</f>
        <v>0</v>
      </c>
      <c r="H115" s="19">
        <f t="shared" si="38"/>
        <v>0</v>
      </c>
      <c r="I115" s="20" t="str">
        <f t="shared" si="39"/>
        <v/>
      </c>
      <c r="J115" s="19">
        <f>116.85</f>
        <v>116.85</v>
      </c>
      <c r="K115" s="19">
        <f>300</f>
        <v>300</v>
      </c>
      <c r="L115" s="19">
        <f t="shared" si="40"/>
        <v>-183.15</v>
      </c>
      <c r="M115" s="20">
        <f t="shared" si="41"/>
        <v>0.38949999999999996</v>
      </c>
      <c r="N115" s="21"/>
      <c r="O115" s="19">
        <f>0</f>
        <v>0</v>
      </c>
      <c r="P115" s="19">
        <f t="shared" si="42"/>
        <v>0</v>
      </c>
      <c r="Q115" s="20" t="str">
        <f t="shared" si="43"/>
        <v/>
      </c>
      <c r="R115" s="19">
        <f t="shared" si="44"/>
        <v>116.85</v>
      </c>
      <c r="S115" s="19">
        <f t="shared" si="45"/>
        <v>300</v>
      </c>
      <c r="T115" s="19">
        <f t="shared" si="46"/>
        <v>-183.15</v>
      </c>
      <c r="U115" s="20">
        <f t="shared" si="47"/>
        <v>0.38949999999999996</v>
      </c>
    </row>
    <row r="116" spans="1:21" s="5" customFormat="1" ht="18" x14ac:dyDescent="0.35">
      <c r="A116" s="10" t="s">
        <v>118</v>
      </c>
      <c r="B116" s="11"/>
      <c r="C116" s="12">
        <f>0</f>
        <v>0</v>
      </c>
      <c r="D116" s="12">
        <f t="shared" si="36"/>
        <v>0</v>
      </c>
      <c r="E116" s="13" t="str">
        <f t="shared" si="37"/>
        <v/>
      </c>
      <c r="F116" s="11"/>
      <c r="G116" s="12">
        <f>0</f>
        <v>0</v>
      </c>
      <c r="H116" s="12">
        <f t="shared" si="38"/>
        <v>0</v>
      </c>
      <c r="I116" s="13" t="str">
        <f t="shared" si="39"/>
        <v/>
      </c>
      <c r="J116" s="11"/>
      <c r="K116" s="12">
        <f>300</f>
        <v>300</v>
      </c>
      <c r="L116" s="12">
        <f t="shared" si="40"/>
        <v>-300</v>
      </c>
      <c r="M116" s="13">
        <f t="shared" si="41"/>
        <v>0</v>
      </c>
      <c r="N116" s="11"/>
      <c r="O116" s="12">
        <f>0</f>
        <v>0</v>
      </c>
      <c r="P116" s="12">
        <f t="shared" si="42"/>
        <v>0</v>
      </c>
      <c r="Q116" s="13" t="str">
        <f t="shared" si="43"/>
        <v/>
      </c>
      <c r="R116" s="12">
        <f t="shared" si="44"/>
        <v>0</v>
      </c>
      <c r="S116" s="12">
        <f t="shared" si="45"/>
        <v>300</v>
      </c>
      <c r="T116" s="12">
        <f t="shared" si="46"/>
        <v>-300</v>
      </c>
      <c r="U116" s="13">
        <f t="shared" si="47"/>
        <v>0</v>
      </c>
    </row>
    <row r="117" spans="1:21" s="5" customFormat="1" ht="18" x14ac:dyDescent="0.35">
      <c r="A117" s="10" t="s">
        <v>119</v>
      </c>
      <c r="B117" s="14">
        <f>(((B113)+(B114))+(B115))+(B116)</f>
        <v>0</v>
      </c>
      <c r="C117" s="14">
        <f>(((C113)+(C114))+(C115))+(C116)</f>
        <v>0</v>
      </c>
      <c r="D117" s="14">
        <f t="shared" si="36"/>
        <v>0</v>
      </c>
      <c r="E117" s="15" t="str">
        <f t="shared" si="37"/>
        <v/>
      </c>
      <c r="F117" s="14">
        <f>(((F113)+(F114))+(F115))+(F116)</f>
        <v>0</v>
      </c>
      <c r="G117" s="14">
        <f>(((G113)+(G114))+(G115))+(G116)</f>
        <v>0</v>
      </c>
      <c r="H117" s="14">
        <f t="shared" si="38"/>
        <v>0</v>
      </c>
      <c r="I117" s="15" t="str">
        <f t="shared" si="39"/>
        <v/>
      </c>
      <c r="J117" s="14">
        <f>(((J113)+(J114))+(J115))+(J116)</f>
        <v>116.85</v>
      </c>
      <c r="K117" s="14">
        <f>(((K113)+(K114))+(K115))+(K116)</f>
        <v>750</v>
      </c>
      <c r="L117" s="14">
        <f t="shared" si="40"/>
        <v>-633.15</v>
      </c>
      <c r="M117" s="15">
        <f t="shared" si="41"/>
        <v>0.15579999999999999</v>
      </c>
      <c r="N117" s="14">
        <f>(((N113)+(N114))+(N115))+(N116)</f>
        <v>0</v>
      </c>
      <c r="O117" s="14">
        <f>(((O113)+(O114))+(O115))+(O116)</f>
        <v>0</v>
      </c>
      <c r="P117" s="14">
        <f t="shared" si="42"/>
        <v>0</v>
      </c>
      <c r="Q117" s="15" t="str">
        <f t="shared" si="43"/>
        <v/>
      </c>
      <c r="R117" s="14">
        <f t="shared" si="44"/>
        <v>116.85</v>
      </c>
      <c r="S117" s="14">
        <f t="shared" si="45"/>
        <v>750</v>
      </c>
      <c r="T117" s="14">
        <f t="shared" si="46"/>
        <v>-633.15</v>
      </c>
      <c r="U117" s="15">
        <f t="shared" si="47"/>
        <v>0.15579999999999999</v>
      </c>
    </row>
    <row r="118" spans="1:21" s="5" customFormat="1" ht="18" x14ac:dyDescent="0.35">
      <c r="A118" s="10" t="s">
        <v>120</v>
      </c>
      <c r="B118" s="21"/>
      <c r="C118" s="19">
        <f>375</f>
        <v>375</v>
      </c>
      <c r="D118" s="19">
        <f t="shared" si="36"/>
        <v>-375</v>
      </c>
      <c r="E118" s="20">
        <f t="shared" si="37"/>
        <v>0</v>
      </c>
      <c r="F118" s="21"/>
      <c r="G118" s="19">
        <f>375</f>
        <v>375</v>
      </c>
      <c r="H118" s="19">
        <f t="shared" si="38"/>
        <v>-375</v>
      </c>
      <c r="I118" s="20">
        <f t="shared" si="39"/>
        <v>0</v>
      </c>
      <c r="J118" s="21"/>
      <c r="K118" s="19">
        <f>375</f>
        <v>375</v>
      </c>
      <c r="L118" s="19">
        <f t="shared" si="40"/>
        <v>-375</v>
      </c>
      <c r="M118" s="20">
        <f t="shared" si="41"/>
        <v>0</v>
      </c>
      <c r="N118" s="21"/>
      <c r="O118" s="19">
        <f>375</f>
        <v>375</v>
      </c>
      <c r="P118" s="19">
        <f t="shared" si="42"/>
        <v>-375</v>
      </c>
      <c r="Q118" s="20">
        <f t="shared" si="43"/>
        <v>0</v>
      </c>
      <c r="R118" s="19">
        <f t="shared" si="44"/>
        <v>0</v>
      </c>
      <c r="S118" s="19">
        <f t="shared" si="45"/>
        <v>1500</v>
      </c>
      <c r="T118" s="19">
        <f t="shared" si="46"/>
        <v>-1500</v>
      </c>
      <c r="U118" s="20">
        <f t="shared" si="47"/>
        <v>0</v>
      </c>
    </row>
    <row r="119" spans="1:21" s="5" customFormat="1" ht="18" x14ac:dyDescent="0.35">
      <c r="A119" s="10" t="s">
        <v>121</v>
      </c>
      <c r="B119" s="21"/>
      <c r="C119" s="21"/>
      <c r="D119" s="19">
        <f t="shared" si="36"/>
        <v>0</v>
      </c>
      <c r="E119" s="20" t="str">
        <f t="shared" si="37"/>
        <v/>
      </c>
      <c r="F119" s="21"/>
      <c r="G119" s="21"/>
      <c r="H119" s="19">
        <f t="shared" si="38"/>
        <v>0</v>
      </c>
      <c r="I119" s="20" t="str">
        <f t="shared" si="39"/>
        <v/>
      </c>
      <c r="J119" s="21"/>
      <c r="K119" s="21"/>
      <c r="L119" s="19">
        <f t="shared" si="40"/>
        <v>0</v>
      </c>
      <c r="M119" s="20" t="str">
        <f t="shared" si="41"/>
        <v/>
      </c>
      <c r="N119" s="21"/>
      <c r="O119" s="21"/>
      <c r="P119" s="19">
        <f t="shared" si="42"/>
        <v>0</v>
      </c>
      <c r="Q119" s="20" t="str">
        <f t="shared" si="43"/>
        <v/>
      </c>
      <c r="R119" s="19">
        <f t="shared" si="44"/>
        <v>0</v>
      </c>
      <c r="S119" s="19">
        <f t="shared" si="45"/>
        <v>0</v>
      </c>
      <c r="T119" s="19">
        <f t="shared" si="46"/>
        <v>0</v>
      </c>
      <c r="U119" s="20" t="str">
        <f t="shared" si="47"/>
        <v/>
      </c>
    </row>
    <row r="120" spans="1:21" s="5" customFormat="1" ht="18" x14ac:dyDescent="0.35">
      <c r="A120" s="10" t="s">
        <v>122</v>
      </c>
      <c r="B120" s="11"/>
      <c r="C120" s="12">
        <f>0</f>
        <v>0</v>
      </c>
      <c r="D120" s="12">
        <f t="shared" si="36"/>
        <v>0</v>
      </c>
      <c r="E120" s="13" t="str">
        <f t="shared" si="37"/>
        <v/>
      </c>
      <c r="F120" s="12">
        <f>258.5</f>
        <v>258.5</v>
      </c>
      <c r="G120" s="12">
        <f>0</f>
        <v>0</v>
      </c>
      <c r="H120" s="12">
        <f t="shared" si="38"/>
        <v>258.5</v>
      </c>
      <c r="I120" s="13" t="str">
        <f t="shared" si="39"/>
        <v/>
      </c>
      <c r="J120" s="11"/>
      <c r="K120" s="12">
        <f>258.5</f>
        <v>258.5</v>
      </c>
      <c r="L120" s="12">
        <f t="shared" si="40"/>
        <v>-258.5</v>
      </c>
      <c r="M120" s="13">
        <f t="shared" si="41"/>
        <v>0</v>
      </c>
      <c r="N120" s="11"/>
      <c r="O120" s="12">
        <f>0</f>
        <v>0</v>
      </c>
      <c r="P120" s="12">
        <f t="shared" si="42"/>
        <v>0</v>
      </c>
      <c r="Q120" s="13" t="str">
        <f t="shared" si="43"/>
        <v/>
      </c>
      <c r="R120" s="12">
        <f t="shared" si="44"/>
        <v>258.5</v>
      </c>
      <c r="S120" s="12">
        <f t="shared" si="45"/>
        <v>258.5</v>
      </c>
      <c r="T120" s="12">
        <f t="shared" si="46"/>
        <v>0</v>
      </c>
      <c r="U120" s="13">
        <f t="shared" si="47"/>
        <v>1</v>
      </c>
    </row>
    <row r="121" spans="1:21" s="5" customFormat="1" ht="18" x14ac:dyDescent="0.35">
      <c r="A121" s="10" t="s">
        <v>123</v>
      </c>
      <c r="B121" s="14">
        <f>(B119)+(B120)</f>
        <v>0</v>
      </c>
      <c r="C121" s="14">
        <f>(C119)+(C120)</f>
        <v>0</v>
      </c>
      <c r="D121" s="14">
        <f t="shared" si="36"/>
        <v>0</v>
      </c>
      <c r="E121" s="15" t="str">
        <f t="shared" si="37"/>
        <v/>
      </c>
      <c r="F121" s="14">
        <f>(F119)+(F120)</f>
        <v>258.5</v>
      </c>
      <c r="G121" s="14">
        <f>(G119)+(G120)</f>
        <v>0</v>
      </c>
      <c r="H121" s="14">
        <f t="shared" si="38"/>
        <v>258.5</v>
      </c>
      <c r="I121" s="15" t="str">
        <f t="shared" si="39"/>
        <v/>
      </c>
      <c r="J121" s="14">
        <f>(J119)+(J120)</f>
        <v>0</v>
      </c>
      <c r="K121" s="14">
        <f>(K119)+(K120)</f>
        <v>258.5</v>
      </c>
      <c r="L121" s="14">
        <f t="shared" si="40"/>
        <v>-258.5</v>
      </c>
      <c r="M121" s="15">
        <f t="shared" si="41"/>
        <v>0</v>
      </c>
      <c r="N121" s="14">
        <f>(N119)+(N120)</f>
        <v>0</v>
      </c>
      <c r="O121" s="14">
        <f>(O119)+(O120)</f>
        <v>0</v>
      </c>
      <c r="P121" s="14">
        <f t="shared" si="42"/>
        <v>0</v>
      </c>
      <c r="Q121" s="15" t="str">
        <f t="shared" si="43"/>
        <v/>
      </c>
      <c r="R121" s="14">
        <f t="shared" si="44"/>
        <v>258.5</v>
      </c>
      <c r="S121" s="14">
        <f t="shared" si="45"/>
        <v>258.5</v>
      </c>
      <c r="T121" s="14">
        <f t="shared" si="46"/>
        <v>0</v>
      </c>
      <c r="U121" s="15">
        <f t="shared" si="47"/>
        <v>1</v>
      </c>
    </row>
    <row r="122" spans="1:21" s="5" customFormat="1" ht="18" x14ac:dyDescent="0.35">
      <c r="A122" s="10" t="s">
        <v>124</v>
      </c>
      <c r="B122" s="21"/>
      <c r="C122" s="21"/>
      <c r="D122" s="19">
        <f t="shared" si="36"/>
        <v>0</v>
      </c>
      <c r="E122" s="20" t="str">
        <f t="shared" si="37"/>
        <v/>
      </c>
      <c r="F122" s="21"/>
      <c r="G122" s="21"/>
      <c r="H122" s="19">
        <f t="shared" si="38"/>
        <v>0</v>
      </c>
      <c r="I122" s="20" t="str">
        <f t="shared" si="39"/>
        <v/>
      </c>
      <c r="J122" s="21"/>
      <c r="K122" s="21"/>
      <c r="L122" s="19">
        <f t="shared" si="40"/>
        <v>0</v>
      </c>
      <c r="M122" s="20" t="str">
        <f t="shared" si="41"/>
        <v/>
      </c>
      <c r="N122" s="21"/>
      <c r="O122" s="21"/>
      <c r="P122" s="19">
        <f t="shared" si="42"/>
        <v>0</v>
      </c>
      <c r="Q122" s="20" t="str">
        <f t="shared" si="43"/>
        <v/>
      </c>
      <c r="R122" s="19">
        <f t="shared" si="44"/>
        <v>0</v>
      </c>
      <c r="S122" s="19">
        <f t="shared" si="45"/>
        <v>0</v>
      </c>
      <c r="T122" s="19">
        <f t="shared" si="46"/>
        <v>0</v>
      </c>
      <c r="U122" s="20" t="str">
        <f t="shared" si="47"/>
        <v/>
      </c>
    </row>
    <row r="123" spans="1:21" s="5" customFormat="1" ht="35.4" x14ac:dyDescent="0.35">
      <c r="A123" s="10" t="s">
        <v>125</v>
      </c>
      <c r="B123" s="21"/>
      <c r="C123" s="19">
        <f>0</f>
        <v>0</v>
      </c>
      <c r="D123" s="19">
        <f t="shared" si="36"/>
        <v>0</v>
      </c>
      <c r="E123" s="20" t="str">
        <f t="shared" si="37"/>
        <v/>
      </c>
      <c r="F123" s="21"/>
      <c r="G123" s="19">
        <f>0</f>
        <v>0</v>
      </c>
      <c r="H123" s="19">
        <f t="shared" si="38"/>
        <v>0</v>
      </c>
      <c r="I123" s="20" t="str">
        <f t="shared" si="39"/>
        <v/>
      </c>
      <c r="J123" s="19">
        <f>0.92</f>
        <v>0.92</v>
      </c>
      <c r="K123" s="19">
        <f>150</f>
        <v>150</v>
      </c>
      <c r="L123" s="19">
        <f t="shared" si="40"/>
        <v>-149.08000000000001</v>
      </c>
      <c r="M123" s="20">
        <f t="shared" si="41"/>
        <v>6.1333333333333335E-3</v>
      </c>
      <c r="N123" s="21"/>
      <c r="O123" s="19">
        <f>0</f>
        <v>0</v>
      </c>
      <c r="P123" s="19">
        <f t="shared" si="42"/>
        <v>0</v>
      </c>
      <c r="Q123" s="20" t="str">
        <f t="shared" si="43"/>
        <v/>
      </c>
      <c r="R123" s="19">
        <f t="shared" si="44"/>
        <v>0.92</v>
      </c>
      <c r="S123" s="19">
        <f t="shared" si="45"/>
        <v>150</v>
      </c>
      <c r="T123" s="19">
        <f t="shared" si="46"/>
        <v>-149.08000000000001</v>
      </c>
      <c r="U123" s="20">
        <f t="shared" si="47"/>
        <v>6.1333333333333335E-3</v>
      </c>
    </row>
    <row r="124" spans="1:21" s="5" customFormat="1" ht="18" x14ac:dyDescent="0.35">
      <c r="A124" s="10" t="s">
        <v>126</v>
      </c>
      <c r="B124" s="21"/>
      <c r="C124" s="19">
        <f>0</f>
        <v>0</v>
      </c>
      <c r="D124" s="19">
        <f t="shared" si="36"/>
        <v>0</v>
      </c>
      <c r="E124" s="20" t="str">
        <f t="shared" si="37"/>
        <v/>
      </c>
      <c r="F124" s="21"/>
      <c r="G124" s="19">
        <f>0</f>
        <v>0</v>
      </c>
      <c r="H124" s="19">
        <f t="shared" si="38"/>
        <v>0</v>
      </c>
      <c r="I124" s="20" t="str">
        <f t="shared" si="39"/>
        <v/>
      </c>
      <c r="J124" s="19">
        <f>75.95</f>
        <v>75.95</v>
      </c>
      <c r="K124" s="19">
        <f>150</f>
        <v>150</v>
      </c>
      <c r="L124" s="19">
        <f t="shared" si="40"/>
        <v>-74.05</v>
      </c>
      <c r="M124" s="20">
        <f t="shared" si="41"/>
        <v>0.5063333333333333</v>
      </c>
      <c r="N124" s="21"/>
      <c r="O124" s="19">
        <f>0</f>
        <v>0</v>
      </c>
      <c r="P124" s="19">
        <f t="shared" si="42"/>
        <v>0</v>
      </c>
      <c r="Q124" s="20" t="str">
        <f t="shared" si="43"/>
        <v/>
      </c>
      <c r="R124" s="19">
        <f t="shared" si="44"/>
        <v>75.95</v>
      </c>
      <c r="S124" s="19">
        <f t="shared" si="45"/>
        <v>150</v>
      </c>
      <c r="T124" s="19">
        <f t="shared" si="46"/>
        <v>-74.05</v>
      </c>
      <c r="U124" s="20">
        <f t="shared" si="47"/>
        <v>0.5063333333333333</v>
      </c>
    </row>
    <row r="125" spans="1:21" s="5" customFormat="1" ht="18" x14ac:dyDescent="0.35">
      <c r="A125" s="10" t="s">
        <v>127</v>
      </c>
      <c r="B125" s="11"/>
      <c r="C125" s="12">
        <f>0</f>
        <v>0</v>
      </c>
      <c r="D125" s="12">
        <f t="shared" si="36"/>
        <v>0</v>
      </c>
      <c r="E125" s="13" t="str">
        <f t="shared" si="37"/>
        <v/>
      </c>
      <c r="F125" s="11"/>
      <c r="G125" s="12">
        <f>0</f>
        <v>0</v>
      </c>
      <c r="H125" s="12">
        <f t="shared" si="38"/>
        <v>0</v>
      </c>
      <c r="I125" s="13" t="str">
        <f t="shared" si="39"/>
        <v/>
      </c>
      <c r="J125" s="12">
        <f>7.28</f>
        <v>7.28</v>
      </c>
      <c r="K125" s="12">
        <f>50</f>
        <v>50</v>
      </c>
      <c r="L125" s="12">
        <f t="shared" si="40"/>
        <v>-42.72</v>
      </c>
      <c r="M125" s="13">
        <f t="shared" si="41"/>
        <v>0.14560000000000001</v>
      </c>
      <c r="N125" s="11"/>
      <c r="O125" s="12">
        <f>0</f>
        <v>0</v>
      </c>
      <c r="P125" s="12">
        <f t="shared" si="42"/>
        <v>0</v>
      </c>
      <c r="Q125" s="13" t="str">
        <f t="shared" si="43"/>
        <v/>
      </c>
      <c r="R125" s="12">
        <f t="shared" si="44"/>
        <v>7.28</v>
      </c>
      <c r="S125" s="12">
        <f t="shared" si="45"/>
        <v>50</v>
      </c>
      <c r="T125" s="12">
        <f t="shared" si="46"/>
        <v>-42.72</v>
      </c>
      <c r="U125" s="13">
        <f t="shared" si="47"/>
        <v>0.14560000000000001</v>
      </c>
    </row>
    <row r="126" spans="1:21" s="5" customFormat="1" ht="35.4" x14ac:dyDescent="0.35">
      <c r="A126" s="10" t="s">
        <v>128</v>
      </c>
      <c r="B126" s="14">
        <f>(((B122)+(B123))+(B124))+(B125)</f>
        <v>0</v>
      </c>
      <c r="C126" s="14">
        <f>(((C122)+(C123))+(C124))+(C125)</f>
        <v>0</v>
      </c>
      <c r="D126" s="14">
        <f t="shared" si="36"/>
        <v>0</v>
      </c>
      <c r="E126" s="15" t="str">
        <f t="shared" si="37"/>
        <v/>
      </c>
      <c r="F126" s="14">
        <f>(((F122)+(F123))+(F124))+(F125)</f>
        <v>0</v>
      </c>
      <c r="G126" s="14">
        <f>(((G122)+(G123))+(G124))+(G125)</f>
        <v>0</v>
      </c>
      <c r="H126" s="14">
        <f t="shared" si="38"/>
        <v>0</v>
      </c>
      <c r="I126" s="15" t="str">
        <f t="shared" si="39"/>
        <v/>
      </c>
      <c r="J126" s="14">
        <f>(((J122)+(J123))+(J124))+(J125)</f>
        <v>84.15</v>
      </c>
      <c r="K126" s="14">
        <f>(((K122)+(K123))+(K124))+(K125)</f>
        <v>350</v>
      </c>
      <c r="L126" s="14">
        <f t="shared" si="40"/>
        <v>-265.85000000000002</v>
      </c>
      <c r="M126" s="15">
        <f t="shared" si="41"/>
        <v>0.24042857142857144</v>
      </c>
      <c r="N126" s="14">
        <f>(((N122)+(N123))+(N124))+(N125)</f>
        <v>0</v>
      </c>
      <c r="O126" s="14">
        <f>(((O122)+(O123))+(O124))+(O125)</f>
        <v>0</v>
      </c>
      <c r="P126" s="14">
        <f t="shared" si="42"/>
        <v>0</v>
      </c>
      <c r="Q126" s="15" t="str">
        <f t="shared" si="43"/>
        <v/>
      </c>
      <c r="R126" s="14">
        <f t="shared" si="44"/>
        <v>84.15</v>
      </c>
      <c r="S126" s="14">
        <f t="shared" si="45"/>
        <v>350</v>
      </c>
      <c r="T126" s="14">
        <f t="shared" si="46"/>
        <v>-265.85000000000002</v>
      </c>
      <c r="U126" s="15">
        <f t="shared" si="47"/>
        <v>0.24042857142857144</v>
      </c>
    </row>
    <row r="127" spans="1:21" s="5" customFormat="1" ht="18" x14ac:dyDescent="0.35">
      <c r="A127" s="10" t="s">
        <v>129</v>
      </c>
      <c r="B127" s="19">
        <f>365.65</f>
        <v>365.65</v>
      </c>
      <c r="C127" s="19">
        <f>300</f>
        <v>300</v>
      </c>
      <c r="D127" s="19">
        <f t="shared" si="36"/>
        <v>65.649999999999977</v>
      </c>
      <c r="E127" s="20">
        <f t="shared" si="37"/>
        <v>1.2188333333333332</v>
      </c>
      <c r="F127" s="21"/>
      <c r="G127" s="19">
        <f>0</f>
        <v>0</v>
      </c>
      <c r="H127" s="19">
        <f t="shared" si="38"/>
        <v>0</v>
      </c>
      <c r="I127" s="20" t="str">
        <f t="shared" si="39"/>
        <v/>
      </c>
      <c r="J127" s="21"/>
      <c r="K127" s="19">
        <f>0</f>
        <v>0</v>
      </c>
      <c r="L127" s="19">
        <f t="shared" si="40"/>
        <v>0</v>
      </c>
      <c r="M127" s="20" t="str">
        <f t="shared" si="41"/>
        <v/>
      </c>
      <c r="N127" s="21"/>
      <c r="O127" s="19">
        <f>0</f>
        <v>0</v>
      </c>
      <c r="P127" s="19">
        <f t="shared" si="42"/>
        <v>0</v>
      </c>
      <c r="Q127" s="20" t="str">
        <f t="shared" si="43"/>
        <v/>
      </c>
      <c r="R127" s="19">
        <f t="shared" si="44"/>
        <v>365.65</v>
      </c>
      <c r="S127" s="19">
        <f t="shared" si="45"/>
        <v>300</v>
      </c>
      <c r="T127" s="19">
        <f t="shared" si="46"/>
        <v>65.649999999999977</v>
      </c>
      <c r="U127" s="20">
        <f t="shared" si="47"/>
        <v>1.2188333333333332</v>
      </c>
    </row>
    <row r="128" spans="1:21" s="5" customFormat="1" ht="18" x14ac:dyDescent="0.35">
      <c r="A128" s="10" t="s">
        <v>130</v>
      </c>
      <c r="B128" s="21"/>
      <c r="C128" s="19">
        <f>375</f>
        <v>375</v>
      </c>
      <c r="D128" s="19">
        <f t="shared" si="36"/>
        <v>-375</v>
      </c>
      <c r="E128" s="20">
        <f t="shared" si="37"/>
        <v>0</v>
      </c>
      <c r="F128" s="21"/>
      <c r="G128" s="19">
        <f>375</f>
        <v>375</v>
      </c>
      <c r="H128" s="19">
        <f t="shared" si="38"/>
        <v>-375</v>
      </c>
      <c r="I128" s="20">
        <f t="shared" si="39"/>
        <v>0</v>
      </c>
      <c r="J128" s="21"/>
      <c r="K128" s="19">
        <f>375</f>
        <v>375</v>
      </c>
      <c r="L128" s="19">
        <f t="shared" si="40"/>
        <v>-375</v>
      </c>
      <c r="M128" s="20">
        <f t="shared" si="41"/>
        <v>0</v>
      </c>
      <c r="N128" s="21"/>
      <c r="O128" s="19">
        <f>375</f>
        <v>375</v>
      </c>
      <c r="P128" s="19">
        <f t="shared" si="42"/>
        <v>-375</v>
      </c>
      <c r="Q128" s="20">
        <f t="shared" si="43"/>
        <v>0</v>
      </c>
      <c r="R128" s="19">
        <f t="shared" si="44"/>
        <v>0</v>
      </c>
      <c r="S128" s="19">
        <f t="shared" si="45"/>
        <v>1500</v>
      </c>
      <c r="T128" s="19">
        <f t="shared" si="46"/>
        <v>-1500</v>
      </c>
      <c r="U128" s="20">
        <f t="shared" si="47"/>
        <v>0</v>
      </c>
    </row>
    <row r="129" spans="1:21" s="5" customFormat="1" ht="18" x14ac:dyDescent="0.35">
      <c r="A129" s="10" t="s">
        <v>131</v>
      </c>
      <c r="B129" s="19">
        <f>356.63</f>
        <v>356.63</v>
      </c>
      <c r="C129" s="21"/>
      <c r="D129" s="19">
        <f t="shared" si="36"/>
        <v>356.63</v>
      </c>
      <c r="E129" s="20" t="str">
        <f t="shared" si="37"/>
        <v/>
      </c>
      <c r="F129" s="21"/>
      <c r="G129" s="21"/>
      <c r="H129" s="19">
        <f t="shared" si="38"/>
        <v>0</v>
      </c>
      <c r="I129" s="20" t="str">
        <f t="shared" si="39"/>
        <v/>
      </c>
      <c r="J129" s="21"/>
      <c r="K129" s="21"/>
      <c r="L129" s="19">
        <f t="shared" si="40"/>
        <v>0</v>
      </c>
      <c r="M129" s="20" t="str">
        <f t="shared" si="41"/>
        <v/>
      </c>
      <c r="N129" s="21"/>
      <c r="O129" s="21"/>
      <c r="P129" s="19">
        <f t="shared" si="42"/>
        <v>0</v>
      </c>
      <c r="Q129" s="20" t="str">
        <f t="shared" si="43"/>
        <v/>
      </c>
      <c r="R129" s="19">
        <f t="shared" si="44"/>
        <v>356.63</v>
      </c>
      <c r="S129" s="19">
        <f t="shared" si="45"/>
        <v>0</v>
      </c>
      <c r="T129" s="19">
        <f t="shared" si="46"/>
        <v>356.63</v>
      </c>
      <c r="U129" s="20" t="str">
        <f t="shared" si="47"/>
        <v/>
      </c>
    </row>
    <row r="130" spans="1:21" s="5" customFormat="1" ht="18" x14ac:dyDescent="0.35">
      <c r="A130" s="10" t="s">
        <v>132</v>
      </c>
      <c r="B130" s="19">
        <f>230.74</f>
        <v>230.74</v>
      </c>
      <c r="C130" s="19">
        <f>150</f>
        <v>150</v>
      </c>
      <c r="D130" s="19">
        <f t="shared" ref="D130:D161" si="48">(B130)-(C130)</f>
        <v>80.740000000000009</v>
      </c>
      <c r="E130" s="20">
        <f t="shared" ref="E130:E148" si="49">IF(C130=0,"",(B130)/(C130))</f>
        <v>1.5382666666666667</v>
      </c>
      <c r="F130" s="19">
        <f>289.72</f>
        <v>289.72000000000003</v>
      </c>
      <c r="G130" s="19">
        <f>150</f>
        <v>150</v>
      </c>
      <c r="H130" s="19">
        <f t="shared" ref="H130:H161" si="50">(F130)-(G130)</f>
        <v>139.72000000000003</v>
      </c>
      <c r="I130" s="20">
        <f t="shared" ref="I130:I148" si="51">IF(G130=0,"",(F130)/(G130))</f>
        <v>1.9314666666666669</v>
      </c>
      <c r="J130" s="19">
        <f>188.6</f>
        <v>188.6</v>
      </c>
      <c r="K130" s="19">
        <f>150</f>
        <v>150</v>
      </c>
      <c r="L130" s="19">
        <f t="shared" ref="L130:L161" si="52">(J130)-(K130)</f>
        <v>38.599999999999994</v>
      </c>
      <c r="M130" s="20">
        <f t="shared" ref="M130:M148" si="53">IF(K130=0,"",(J130)/(K130))</f>
        <v>1.2573333333333332</v>
      </c>
      <c r="N130" s="21"/>
      <c r="O130" s="19">
        <f>150</f>
        <v>150</v>
      </c>
      <c r="P130" s="19">
        <f t="shared" ref="P130:P161" si="54">(N130)-(O130)</f>
        <v>-150</v>
      </c>
      <c r="Q130" s="20">
        <f t="shared" ref="Q130:Q148" si="55">IF(O130=0,"",(N130)/(O130))</f>
        <v>0</v>
      </c>
      <c r="R130" s="19">
        <f t="shared" ref="R130:R148" si="56">(((B130)+(F130))+(J130))+(N130)</f>
        <v>709.06000000000006</v>
      </c>
      <c r="S130" s="19">
        <f t="shared" ref="S130:S148" si="57">(((C130)+(G130))+(K130))+(O130)</f>
        <v>600</v>
      </c>
      <c r="T130" s="19">
        <f t="shared" ref="T130:T161" si="58">(R130)-(S130)</f>
        <v>109.06000000000006</v>
      </c>
      <c r="U130" s="20">
        <f t="shared" ref="U130:U148" si="59">IF(S130=0,"",(R130)/(S130))</f>
        <v>1.1817666666666669</v>
      </c>
    </row>
    <row r="131" spans="1:21" s="5" customFormat="1" ht="35.4" x14ac:dyDescent="0.35">
      <c r="A131" s="10" t="s">
        <v>133</v>
      </c>
      <c r="B131" s="21"/>
      <c r="C131" s="19">
        <f>0</f>
        <v>0</v>
      </c>
      <c r="D131" s="19">
        <f t="shared" si="48"/>
        <v>0</v>
      </c>
      <c r="E131" s="20" t="str">
        <f t="shared" si="49"/>
        <v/>
      </c>
      <c r="F131" s="21"/>
      <c r="G131" s="19">
        <f>0</f>
        <v>0</v>
      </c>
      <c r="H131" s="19">
        <f t="shared" si="50"/>
        <v>0</v>
      </c>
      <c r="I131" s="20" t="str">
        <f t="shared" si="51"/>
        <v/>
      </c>
      <c r="J131" s="21"/>
      <c r="K131" s="19">
        <f>0</f>
        <v>0</v>
      </c>
      <c r="L131" s="19">
        <f t="shared" si="52"/>
        <v>0</v>
      </c>
      <c r="M131" s="20" t="str">
        <f t="shared" si="53"/>
        <v/>
      </c>
      <c r="N131" s="21"/>
      <c r="O131" s="19">
        <f>1500</f>
        <v>1500</v>
      </c>
      <c r="P131" s="19">
        <f t="shared" si="54"/>
        <v>-1500</v>
      </c>
      <c r="Q131" s="20">
        <f t="shared" si="55"/>
        <v>0</v>
      </c>
      <c r="R131" s="19">
        <f t="shared" si="56"/>
        <v>0</v>
      </c>
      <c r="S131" s="19">
        <f t="shared" si="57"/>
        <v>1500</v>
      </c>
      <c r="T131" s="19">
        <f t="shared" si="58"/>
        <v>-1500</v>
      </c>
      <c r="U131" s="20">
        <f t="shared" si="59"/>
        <v>0</v>
      </c>
    </row>
    <row r="132" spans="1:21" s="5" customFormat="1" ht="18" x14ac:dyDescent="0.35">
      <c r="A132" s="10" t="s">
        <v>134</v>
      </c>
      <c r="B132" s="19">
        <f>152.55</f>
        <v>152.55000000000001</v>
      </c>
      <c r="C132" s="19">
        <f>125</f>
        <v>125</v>
      </c>
      <c r="D132" s="19">
        <f t="shared" si="48"/>
        <v>27.550000000000011</v>
      </c>
      <c r="E132" s="20">
        <f t="shared" si="49"/>
        <v>1.2204000000000002</v>
      </c>
      <c r="F132" s="19">
        <f>173.58</f>
        <v>173.58</v>
      </c>
      <c r="G132" s="19">
        <f>125</f>
        <v>125</v>
      </c>
      <c r="H132" s="19">
        <f t="shared" si="50"/>
        <v>48.580000000000013</v>
      </c>
      <c r="I132" s="20">
        <f t="shared" si="51"/>
        <v>1.3886400000000001</v>
      </c>
      <c r="J132" s="21"/>
      <c r="K132" s="19">
        <f>125</f>
        <v>125</v>
      </c>
      <c r="L132" s="19">
        <f t="shared" si="52"/>
        <v>-125</v>
      </c>
      <c r="M132" s="20">
        <f t="shared" si="53"/>
        <v>0</v>
      </c>
      <c r="N132" s="21"/>
      <c r="O132" s="19">
        <f>125</f>
        <v>125</v>
      </c>
      <c r="P132" s="19">
        <f t="shared" si="54"/>
        <v>-125</v>
      </c>
      <c r="Q132" s="20">
        <f t="shared" si="55"/>
        <v>0</v>
      </c>
      <c r="R132" s="19">
        <f t="shared" si="56"/>
        <v>326.13</v>
      </c>
      <c r="S132" s="19">
        <f t="shared" si="57"/>
        <v>500</v>
      </c>
      <c r="T132" s="19">
        <f t="shared" si="58"/>
        <v>-173.87</v>
      </c>
      <c r="U132" s="20">
        <f t="shared" si="59"/>
        <v>0.65225999999999995</v>
      </c>
    </row>
    <row r="133" spans="1:21" s="5" customFormat="1" ht="35.4" x14ac:dyDescent="0.35">
      <c r="A133" s="10" t="s">
        <v>135</v>
      </c>
      <c r="B133" s="19">
        <f>305.1</f>
        <v>305.10000000000002</v>
      </c>
      <c r="C133" s="19">
        <f>250</f>
        <v>250</v>
      </c>
      <c r="D133" s="19">
        <f t="shared" si="48"/>
        <v>55.100000000000023</v>
      </c>
      <c r="E133" s="20">
        <f t="shared" si="49"/>
        <v>1.2204000000000002</v>
      </c>
      <c r="F133" s="19">
        <f>177.92</f>
        <v>177.92</v>
      </c>
      <c r="G133" s="19">
        <f>250</f>
        <v>250</v>
      </c>
      <c r="H133" s="19">
        <f t="shared" si="50"/>
        <v>-72.080000000000013</v>
      </c>
      <c r="I133" s="20">
        <f t="shared" si="51"/>
        <v>0.71167999999999998</v>
      </c>
      <c r="J133" s="21"/>
      <c r="K133" s="19">
        <f>0</f>
        <v>0</v>
      </c>
      <c r="L133" s="19">
        <f t="shared" si="52"/>
        <v>0</v>
      </c>
      <c r="M133" s="20" t="str">
        <f t="shared" si="53"/>
        <v/>
      </c>
      <c r="N133" s="21"/>
      <c r="O133" s="19">
        <f>0</f>
        <v>0</v>
      </c>
      <c r="P133" s="19">
        <f t="shared" si="54"/>
        <v>0</v>
      </c>
      <c r="Q133" s="20" t="str">
        <f t="shared" si="55"/>
        <v/>
      </c>
      <c r="R133" s="19">
        <f t="shared" si="56"/>
        <v>483.02</v>
      </c>
      <c r="S133" s="19">
        <f t="shared" si="57"/>
        <v>500</v>
      </c>
      <c r="T133" s="19">
        <f t="shared" si="58"/>
        <v>-16.980000000000018</v>
      </c>
      <c r="U133" s="20">
        <f t="shared" si="59"/>
        <v>0.96604000000000001</v>
      </c>
    </row>
    <row r="134" spans="1:21" s="5" customFormat="1" ht="18" x14ac:dyDescent="0.35">
      <c r="A134" s="10" t="s">
        <v>136</v>
      </c>
      <c r="B134" s="21"/>
      <c r="C134" s="19">
        <f>125</f>
        <v>125</v>
      </c>
      <c r="D134" s="19">
        <f t="shared" si="48"/>
        <v>-125</v>
      </c>
      <c r="E134" s="20">
        <f t="shared" si="49"/>
        <v>0</v>
      </c>
      <c r="F134" s="21"/>
      <c r="G134" s="19">
        <f>125</f>
        <v>125</v>
      </c>
      <c r="H134" s="19">
        <f t="shared" si="50"/>
        <v>-125</v>
      </c>
      <c r="I134" s="20">
        <f t="shared" si="51"/>
        <v>0</v>
      </c>
      <c r="J134" s="19">
        <f>367.25</f>
        <v>367.25</v>
      </c>
      <c r="K134" s="19">
        <f>125</f>
        <v>125</v>
      </c>
      <c r="L134" s="19">
        <f t="shared" si="52"/>
        <v>242.25</v>
      </c>
      <c r="M134" s="20">
        <f t="shared" si="53"/>
        <v>2.9380000000000002</v>
      </c>
      <c r="N134" s="21"/>
      <c r="O134" s="19">
        <f>125</f>
        <v>125</v>
      </c>
      <c r="P134" s="19">
        <f t="shared" si="54"/>
        <v>-125</v>
      </c>
      <c r="Q134" s="20">
        <f t="shared" si="55"/>
        <v>0</v>
      </c>
      <c r="R134" s="19">
        <f t="shared" si="56"/>
        <v>367.25</v>
      </c>
      <c r="S134" s="19">
        <f t="shared" si="57"/>
        <v>500</v>
      </c>
      <c r="T134" s="19">
        <f t="shared" si="58"/>
        <v>-132.75</v>
      </c>
      <c r="U134" s="20">
        <f t="shared" si="59"/>
        <v>0.73450000000000004</v>
      </c>
    </row>
    <row r="135" spans="1:21" s="5" customFormat="1" ht="18" x14ac:dyDescent="0.35">
      <c r="A135" s="10" t="s">
        <v>137</v>
      </c>
      <c r="B135" s="19">
        <f>332.05</f>
        <v>332.05</v>
      </c>
      <c r="C135" s="19">
        <f>95</f>
        <v>95</v>
      </c>
      <c r="D135" s="19">
        <f t="shared" si="48"/>
        <v>237.05</v>
      </c>
      <c r="E135" s="20">
        <f t="shared" si="49"/>
        <v>3.4952631578947368</v>
      </c>
      <c r="F135" s="21"/>
      <c r="G135" s="19">
        <f>95</f>
        <v>95</v>
      </c>
      <c r="H135" s="19">
        <f t="shared" si="50"/>
        <v>-95</v>
      </c>
      <c r="I135" s="20">
        <f t="shared" si="51"/>
        <v>0</v>
      </c>
      <c r="J135" s="21"/>
      <c r="K135" s="19">
        <f>95</f>
        <v>95</v>
      </c>
      <c r="L135" s="19">
        <f t="shared" si="52"/>
        <v>-95</v>
      </c>
      <c r="M135" s="20">
        <f t="shared" si="53"/>
        <v>0</v>
      </c>
      <c r="N135" s="21"/>
      <c r="O135" s="19">
        <f>95</f>
        <v>95</v>
      </c>
      <c r="P135" s="19">
        <f t="shared" si="54"/>
        <v>-95</v>
      </c>
      <c r="Q135" s="20">
        <f t="shared" si="55"/>
        <v>0</v>
      </c>
      <c r="R135" s="19">
        <f t="shared" si="56"/>
        <v>332.05</v>
      </c>
      <c r="S135" s="19">
        <f t="shared" si="57"/>
        <v>380</v>
      </c>
      <c r="T135" s="19">
        <f t="shared" si="58"/>
        <v>-47.949999999999989</v>
      </c>
      <c r="U135" s="20">
        <f t="shared" si="59"/>
        <v>0.87381578947368421</v>
      </c>
    </row>
    <row r="136" spans="1:21" s="5" customFormat="1" ht="35.4" x14ac:dyDescent="0.35">
      <c r="A136" s="10" t="s">
        <v>138</v>
      </c>
      <c r="B136" s="21"/>
      <c r="C136" s="19">
        <f>0</f>
        <v>0</v>
      </c>
      <c r="D136" s="19">
        <f t="shared" si="48"/>
        <v>0</v>
      </c>
      <c r="E136" s="20" t="str">
        <f t="shared" si="49"/>
        <v/>
      </c>
      <c r="F136" s="21"/>
      <c r="G136" s="19">
        <f>0</f>
        <v>0</v>
      </c>
      <c r="H136" s="19">
        <f t="shared" si="50"/>
        <v>0</v>
      </c>
      <c r="I136" s="20" t="str">
        <f t="shared" si="51"/>
        <v/>
      </c>
      <c r="J136" s="21"/>
      <c r="K136" s="19">
        <f>0</f>
        <v>0</v>
      </c>
      <c r="L136" s="19">
        <f t="shared" si="52"/>
        <v>0</v>
      </c>
      <c r="M136" s="20" t="str">
        <f t="shared" si="53"/>
        <v/>
      </c>
      <c r="N136" s="21"/>
      <c r="O136" s="19">
        <f>1000</f>
        <v>1000</v>
      </c>
      <c r="P136" s="19">
        <f t="shared" si="54"/>
        <v>-1000</v>
      </c>
      <c r="Q136" s="20">
        <f t="shared" si="55"/>
        <v>0</v>
      </c>
      <c r="R136" s="19">
        <f t="shared" si="56"/>
        <v>0</v>
      </c>
      <c r="S136" s="19">
        <f t="shared" si="57"/>
        <v>1000</v>
      </c>
      <c r="T136" s="19">
        <f t="shared" si="58"/>
        <v>-1000</v>
      </c>
      <c r="U136" s="20">
        <f t="shared" si="59"/>
        <v>0</v>
      </c>
    </row>
    <row r="137" spans="1:21" s="5" customFormat="1" ht="35.4" x14ac:dyDescent="0.35">
      <c r="A137" s="10" t="s">
        <v>139</v>
      </c>
      <c r="B137" s="21"/>
      <c r="C137" s="19">
        <f>0</f>
        <v>0</v>
      </c>
      <c r="D137" s="19">
        <f t="shared" si="48"/>
        <v>0</v>
      </c>
      <c r="E137" s="20" t="str">
        <f t="shared" si="49"/>
        <v/>
      </c>
      <c r="F137" s="21"/>
      <c r="G137" s="19">
        <f>0</f>
        <v>0</v>
      </c>
      <c r="H137" s="19">
        <f t="shared" si="50"/>
        <v>0</v>
      </c>
      <c r="I137" s="20" t="str">
        <f t="shared" si="51"/>
        <v/>
      </c>
      <c r="J137" s="21"/>
      <c r="K137" s="19">
        <f>0</f>
        <v>0</v>
      </c>
      <c r="L137" s="19">
        <f t="shared" si="52"/>
        <v>0</v>
      </c>
      <c r="M137" s="20" t="str">
        <f t="shared" si="53"/>
        <v/>
      </c>
      <c r="N137" s="21"/>
      <c r="O137" s="19">
        <f>1000</f>
        <v>1000</v>
      </c>
      <c r="P137" s="19">
        <f t="shared" si="54"/>
        <v>-1000</v>
      </c>
      <c r="Q137" s="20">
        <f t="shared" si="55"/>
        <v>0</v>
      </c>
      <c r="R137" s="19">
        <f t="shared" si="56"/>
        <v>0</v>
      </c>
      <c r="S137" s="19">
        <f t="shared" si="57"/>
        <v>1000</v>
      </c>
      <c r="T137" s="19">
        <f t="shared" si="58"/>
        <v>-1000</v>
      </c>
      <c r="U137" s="20">
        <f t="shared" si="59"/>
        <v>0</v>
      </c>
    </row>
    <row r="138" spans="1:21" s="5" customFormat="1" ht="18" x14ac:dyDescent="0.35">
      <c r="A138" s="10" t="s">
        <v>140</v>
      </c>
      <c r="B138" s="21"/>
      <c r="C138" s="19">
        <f>0</f>
        <v>0</v>
      </c>
      <c r="D138" s="19">
        <f t="shared" si="48"/>
        <v>0</v>
      </c>
      <c r="E138" s="20" t="str">
        <f t="shared" si="49"/>
        <v/>
      </c>
      <c r="F138" s="21"/>
      <c r="G138" s="19">
        <f>0</f>
        <v>0</v>
      </c>
      <c r="H138" s="19">
        <f t="shared" si="50"/>
        <v>0</v>
      </c>
      <c r="I138" s="20" t="str">
        <f t="shared" si="51"/>
        <v/>
      </c>
      <c r="J138" s="21"/>
      <c r="K138" s="19">
        <f>0</f>
        <v>0</v>
      </c>
      <c r="L138" s="19">
        <f t="shared" si="52"/>
        <v>0</v>
      </c>
      <c r="M138" s="20" t="str">
        <f t="shared" si="53"/>
        <v/>
      </c>
      <c r="N138" s="21"/>
      <c r="O138" s="19">
        <f>400</f>
        <v>400</v>
      </c>
      <c r="P138" s="19">
        <f t="shared" si="54"/>
        <v>-400</v>
      </c>
      <c r="Q138" s="20">
        <f t="shared" si="55"/>
        <v>0</v>
      </c>
      <c r="R138" s="19">
        <f t="shared" si="56"/>
        <v>0</v>
      </c>
      <c r="S138" s="19">
        <f t="shared" si="57"/>
        <v>400</v>
      </c>
      <c r="T138" s="19">
        <f t="shared" si="58"/>
        <v>-400</v>
      </c>
      <c r="U138" s="20">
        <f t="shared" si="59"/>
        <v>0</v>
      </c>
    </row>
    <row r="139" spans="1:21" s="5" customFormat="1" ht="35.4" x14ac:dyDescent="0.35">
      <c r="A139" s="10" t="s">
        <v>141</v>
      </c>
      <c r="B139" s="21"/>
      <c r="C139" s="19">
        <f>0</f>
        <v>0</v>
      </c>
      <c r="D139" s="19">
        <f t="shared" si="48"/>
        <v>0</v>
      </c>
      <c r="E139" s="20" t="str">
        <f t="shared" si="49"/>
        <v/>
      </c>
      <c r="F139" s="21"/>
      <c r="G139" s="19">
        <f>0</f>
        <v>0</v>
      </c>
      <c r="H139" s="19">
        <f t="shared" si="50"/>
        <v>0</v>
      </c>
      <c r="I139" s="20" t="str">
        <f t="shared" si="51"/>
        <v/>
      </c>
      <c r="J139" s="21"/>
      <c r="K139" s="19">
        <f>0</f>
        <v>0</v>
      </c>
      <c r="L139" s="19">
        <f t="shared" si="52"/>
        <v>0</v>
      </c>
      <c r="M139" s="20" t="str">
        <f t="shared" si="53"/>
        <v/>
      </c>
      <c r="N139" s="21"/>
      <c r="O139" s="19">
        <f>400</f>
        <v>400</v>
      </c>
      <c r="P139" s="19">
        <f t="shared" si="54"/>
        <v>-400</v>
      </c>
      <c r="Q139" s="20">
        <f t="shared" si="55"/>
        <v>0</v>
      </c>
      <c r="R139" s="19">
        <f t="shared" si="56"/>
        <v>0</v>
      </c>
      <c r="S139" s="19">
        <f t="shared" si="57"/>
        <v>400</v>
      </c>
      <c r="T139" s="19">
        <f t="shared" si="58"/>
        <v>-400</v>
      </c>
      <c r="U139" s="20">
        <f t="shared" si="59"/>
        <v>0</v>
      </c>
    </row>
    <row r="140" spans="1:21" s="5" customFormat="1" ht="35.4" x14ac:dyDescent="0.35">
      <c r="A140" s="10" t="s">
        <v>142</v>
      </c>
      <c r="B140" s="21"/>
      <c r="C140" s="19">
        <f>0</f>
        <v>0</v>
      </c>
      <c r="D140" s="19">
        <f t="shared" si="48"/>
        <v>0</v>
      </c>
      <c r="E140" s="20" t="str">
        <f t="shared" si="49"/>
        <v/>
      </c>
      <c r="F140" s="21"/>
      <c r="G140" s="19">
        <f>0</f>
        <v>0</v>
      </c>
      <c r="H140" s="19">
        <f t="shared" si="50"/>
        <v>0</v>
      </c>
      <c r="I140" s="20" t="str">
        <f t="shared" si="51"/>
        <v/>
      </c>
      <c r="J140" s="21"/>
      <c r="K140" s="19">
        <f>0</f>
        <v>0</v>
      </c>
      <c r="L140" s="19">
        <f t="shared" si="52"/>
        <v>0</v>
      </c>
      <c r="M140" s="20" t="str">
        <f t="shared" si="53"/>
        <v/>
      </c>
      <c r="N140" s="21"/>
      <c r="O140" s="19">
        <f>1000</f>
        <v>1000</v>
      </c>
      <c r="P140" s="19">
        <f t="shared" si="54"/>
        <v>-1000</v>
      </c>
      <c r="Q140" s="20">
        <f t="shared" si="55"/>
        <v>0</v>
      </c>
      <c r="R140" s="19">
        <f t="shared" si="56"/>
        <v>0</v>
      </c>
      <c r="S140" s="19">
        <f t="shared" si="57"/>
        <v>1000</v>
      </c>
      <c r="T140" s="19">
        <f t="shared" si="58"/>
        <v>-1000</v>
      </c>
      <c r="U140" s="20">
        <f t="shared" si="59"/>
        <v>0</v>
      </c>
    </row>
    <row r="141" spans="1:21" s="5" customFormat="1" ht="35.4" x14ac:dyDescent="0.35">
      <c r="A141" s="10" t="s">
        <v>143</v>
      </c>
      <c r="B141" s="21"/>
      <c r="C141" s="19">
        <f>0</f>
        <v>0</v>
      </c>
      <c r="D141" s="19">
        <f t="shared" si="48"/>
        <v>0</v>
      </c>
      <c r="E141" s="20" t="str">
        <f t="shared" si="49"/>
        <v/>
      </c>
      <c r="F141" s="21"/>
      <c r="G141" s="19">
        <f>0</f>
        <v>0</v>
      </c>
      <c r="H141" s="19">
        <f t="shared" si="50"/>
        <v>0</v>
      </c>
      <c r="I141" s="20" t="str">
        <f t="shared" si="51"/>
        <v/>
      </c>
      <c r="J141" s="21"/>
      <c r="K141" s="19">
        <f>0</f>
        <v>0</v>
      </c>
      <c r="L141" s="19">
        <f t="shared" si="52"/>
        <v>0</v>
      </c>
      <c r="M141" s="20" t="str">
        <f t="shared" si="53"/>
        <v/>
      </c>
      <c r="N141" s="21"/>
      <c r="O141" s="19">
        <f>400</f>
        <v>400</v>
      </c>
      <c r="P141" s="19">
        <f t="shared" si="54"/>
        <v>-400</v>
      </c>
      <c r="Q141" s="20">
        <f t="shared" si="55"/>
        <v>0</v>
      </c>
      <c r="R141" s="19">
        <f t="shared" si="56"/>
        <v>0</v>
      </c>
      <c r="S141" s="19">
        <f t="shared" si="57"/>
        <v>400</v>
      </c>
      <c r="T141" s="19">
        <f t="shared" si="58"/>
        <v>-400</v>
      </c>
      <c r="U141" s="20">
        <f t="shared" si="59"/>
        <v>0</v>
      </c>
    </row>
    <row r="142" spans="1:21" s="5" customFormat="1" ht="35.4" x14ac:dyDescent="0.35">
      <c r="A142" s="10" t="s">
        <v>144</v>
      </c>
      <c r="B142" s="21"/>
      <c r="C142" s="19">
        <f>0</f>
        <v>0</v>
      </c>
      <c r="D142" s="19">
        <f t="shared" si="48"/>
        <v>0</v>
      </c>
      <c r="E142" s="20" t="str">
        <f t="shared" si="49"/>
        <v/>
      </c>
      <c r="F142" s="21"/>
      <c r="G142" s="19">
        <f>0</f>
        <v>0</v>
      </c>
      <c r="H142" s="19">
        <f t="shared" si="50"/>
        <v>0</v>
      </c>
      <c r="I142" s="20" t="str">
        <f t="shared" si="51"/>
        <v/>
      </c>
      <c r="J142" s="21"/>
      <c r="K142" s="19">
        <f>0</f>
        <v>0</v>
      </c>
      <c r="L142" s="19">
        <f t="shared" si="52"/>
        <v>0</v>
      </c>
      <c r="M142" s="20" t="str">
        <f t="shared" si="53"/>
        <v/>
      </c>
      <c r="N142" s="21"/>
      <c r="O142" s="19">
        <f>500</f>
        <v>500</v>
      </c>
      <c r="P142" s="19">
        <f t="shared" si="54"/>
        <v>-500</v>
      </c>
      <c r="Q142" s="20">
        <f t="shared" si="55"/>
        <v>0</v>
      </c>
      <c r="R142" s="19">
        <f t="shared" si="56"/>
        <v>0</v>
      </c>
      <c r="S142" s="19">
        <f t="shared" si="57"/>
        <v>500</v>
      </c>
      <c r="T142" s="19">
        <f t="shared" si="58"/>
        <v>-500</v>
      </c>
      <c r="U142" s="20">
        <f t="shared" si="59"/>
        <v>0</v>
      </c>
    </row>
    <row r="143" spans="1:21" s="5" customFormat="1" ht="18" x14ac:dyDescent="0.35">
      <c r="A143" s="10" t="s">
        <v>145</v>
      </c>
      <c r="B143" s="21"/>
      <c r="C143" s="19">
        <f>8000</f>
        <v>8000</v>
      </c>
      <c r="D143" s="19">
        <f t="shared" si="48"/>
        <v>-8000</v>
      </c>
      <c r="E143" s="20">
        <f t="shared" si="49"/>
        <v>0</v>
      </c>
      <c r="F143" s="19">
        <f>8000</f>
        <v>8000</v>
      </c>
      <c r="G143" s="19">
        <f>0</f>
        <v>0</v>
      </c>
      <c r="H143" s="19">
        <f t="shared" si="50"/>
        <v>8000</v>
      </c>
      <c r="I143" s="20" t="str">
        <f t="shared" si="51"/>
        <v/>
      </c>
      <c r="J143" s="21"/>
      <c r="K143" s="19">
        <f>0</f>
        <v>0</v>
      </c>
      <c r="L143" s="19">
        <f t="shared" si="52"/>
        <v>0</v>
      </c>
      <c r="M143" s="20" t="str">
        <f t="shared" si="53"/>
        <v/>
      </c>
      <c r="N143" s="21"/>
      <c r="O143" s="19">
        <f>0</f>
        <v>0</v>
      </c>
      <c r="P143" s="19">
        <f t="shared" si="54"/>
        <v>0</v>
      </c>
      <c r="Q143" s="20" t="str">
        <f t="shared" si="55"/>
        <v/>
      </c>
      <c r="R143" s="19">
        <f t="shared" si="56"/>
        <v>8000</v>
      </c>
      <c r="S143" s="19">
        <f t="shared" si="57"/>
        <v>8000</v>
      </c>
      <c r="T143" s="19">
        <f t="shared" si="58"/>
        <v>0</v>
      </c>
      <c r="U143" s="20">
        <f t="shared" si="59"/>
        <v>1</v>
      </c>
    </row>
    <row r="144" spans="1:21" s="5" customFormat="1" ht="35.4" x14ac:dyDescent="0.35">
      <c r="A144" s="10" t="s">
        <v>146</v>
      </c>
      <c r="B144" s="21"/>
      <c r="C144" s="19">
        <f>150</f>
        <v>150</v>
      </c>
      <c r="D144" s="19">
        <f t="shared" si="48"/>
        <v>-150</v>
      </c>
      <c r="E144" s="20">
        <f t="shared" si="49"/>
        <v>0</v>
      </c>
      <c r="F144" s="21"/>
      <c r="G144" s="19">
        <f>150</f>
        <v>150</v>
      </c>
      <c r="H144" s="19">
        <f t="shared" si="50"/>
        <v>-150</v>
      </c>
      <c r="I144" s="20">
        <f t="shared" si="51"/>
        <v>0</v>
      </c>
      <c r="J144" s="21"/>
      <c r="K144" s="19">
        <f>150</f>
        <v>150</v>
      </c>
      <c r="L144" s="19">
        <f t="shared" si="52"/>
        <v>-150</v>
      </c>
      <c r="M144" s="20">
        <f t="shared" si="53"/>
        <v>0</v>
      </c>
      <c r="N144" s="21"/>
      <c r="O144" s="19">
        <f>150</f>
        <v>150</v>
      </c>
      <c r="P144" s="19">
        <f t="shared" si="54"/>
        <v>-150</v>
      </c>
      <c r="Q144" s="20">
        <f t="shared" si="55"/>
        <v>0</v>
      </c>
      <c r="R144" s="19">
        <f t="shared" si="56"/>
        <v>0</v>
      </c>
      <c r="S144" s="19">
        <f t="shared" si="57"/>
        <v>600</v>
      </c>
      <c r="T144" s="19">
        <f t="shared" si="58"/>
        <v>-600</v>
      </c>
      <c r="U144" s="20">
        <f t="shared" si="59"/>
        <v>0</v>
      </c>
    </row>
    <row r="145" spans="1:21" s="5" customFormat="1" ht="18" x14ac:dyDescent="0.35">
      <c r="A145" s="10" t="s">
        <v>147</v>
      </c>
      <c r="B145" s="12">
        <f>105</f>
        <v>105</v>
      </c>
      <c r="C145" s="11"/>
      <c r="D145" s="12">
        <f t="shared" si="48"/>
        <v>105</v>
      </c>
      <c r="E145" s="13" t="str">
        <f t="shared" si="49"/>
        <v/>
      </c>
      <c r="F145" s="11"/>
      <c r="G145" s="11"/>
      <c r="H145" s="12">
        <f t="shared" si="50"/>
        <v>0</v>
      </c>
      <c r="I145" s="13" t="str">
        <f t="shared" si="51"/>
        <v/>
      </c>
      <c r="J145" s="11"/>
      <c r="K145" s="11"/>
      <c r="L145" s="12">
        <f t="shared" si="52"/>
        <v>0</v>
      </c>
      <c r="M145" s="13" t="str">
        <f t="shared" si="53"/>
        <v/>
      </c>
      <c r="N145" s="11"/>
      <c r="O145" s="11"/>
      <c r="P145" s="12">
        <f t="shared" si="54"/>
        <v>0</v>
      </c>
      <c r="Q145" s="13" t="str">
        <f t="shared" si="55"/>
        <v/>
      </c>
      <c r="R145" s="12">
        <f t="shared" si="56"/>
        <v>105</v>
      </c>
      <c r="S145" s="12">
        <f t="shared" si="57"/>
        <v>0</v>
      </c>
      <c r="T145" s="12">
        <f t="shared" si="58"/>
        <v>105</v>
      </c>
      <c r="U145" s="13" t="str">
        <f t="shared" si="59"/>
        <v/>
      </c>
    </row>
    <row r="146" spans="1:21" s="5" customFormat="1" ht="18" x14ac:dyDescent="0.35">
      <c r="A146" s="10" t="s">
        <v>148</v>
      </c>
      <c r="B146" s="14">
        <f>((((((((((((((((((((((((((((((((B34)+(B45))+(B46))+(B47))+(B71))+(B72))+(B73))+(B86))+(B105))+(B112))+(B117))+(B118))+(B121))+(B126))+(B127))+(B128))+(B129))+(B130))+(B131))+(B132))+(B133))+(B134))+(B135))+(B136))+(B137))+(B138))+(B139))+(B140))+(B141))+(B142))+(B143))+(B144))+(B145)</f>
        <v>6047.7400000000007</v>
      </c>
      <c r="C146" s="14">
        <f>((((((((((((((((((((((((((((((((C34)+(C45))+(C46))+(C47))+(C71))+(C72))+(C73))+(C86))+(C105))+(C112))+(C117))+(C118))+(C121))+(C126))+(C127))+(C128))+(C129))+(C130))+(C131))+(C132))+(C133))+(C134))+(C135))+(C136))+(C137))+(C138))+(C139))+(C140))+(C141))+(C142))+(C143))+(C144))+(C145)</f>
        <v>18602</v>
      </c>
      <c r="D146" s="14">
        <f t="shared" si="48"/>
        <v>-12554.259999999998</v>
      </c>
      <c r="E146" s="15">
        <f t="shared" si="49"/>
        <v>0.32511235351037526</v>
      </c>
      <c r="F146" s="14">
        <f>((((((((((((((((((((((((((((((((F34)+(F45))+(F46))+(F47))+(F71))+(F72))+(F73))+(F86))+(F105))+(F112))+(F117))+(F118))+(F121))+(F126))+(F127))+(F128))+(F129))+(F130))+(F131))+(F132))+(F133))+(F134))+(F135))+(F136))+(F137))+(F138))+(F139))+(F140))+(F141))+(F142))+(F143))+(F144))+(F145)</f>
        <v>13105.8</v>
      </c>
      <c r="G146" s="14">
        <f>((((((((((((((((((((((((((((((((G34)+(G45))+(G46))+(G47))+(G71))+(G72))+(G73))+(G86))+(G105))+(G112))+(G117))+(G118))+(G121))+(G126))+(G127))+(G128))+(G129))+(G130))+(G131))+(G132))+(G133))+(G134))+(G135))+(G136))+(G137))+(G138))+(G139))+(G140))+(G141))+(G142))+(G143))+(G144))+(G145)</f>
        <v>10302</v>
      </c>
      <c r="H146" s="14">
        <f t="shared" si="50"/>
        <v>2803.7999999999993</v>
      </c>
      <c r="I146" s="15">
        <f t="shared" si="51"/>
        <v>1.2721607454863133</v>
      </c>
      <c r="J146" s="14">
        <f>((((((((((((((((((((((((((((((((J34)+(J45))+(J46))+(J47))+(J71))+(J72))+(J73))+(J86))+(J105))+(J112))+(J117))+(J118))+(J121))+(J126))+(J127))+(J128))+(J129))+(J130))+(J131))+(J132))+(J133))+(J134))+(J135))+(J136))+(J137))+(J138))+(J139))+(J140))+(J141))+(J142))+(J143))+(J144))+(J145)</f>
        <v>11947.590000000002</v>
      </c>
      <c r="K146" s="14">
        <f>((((((((((((((((((((((((((((((((K34)+(K45))+(K46))+(K47))+(K71))+(K72))+(K73))+(K86))+(K105))+(K112))+(K117))+(K118))+(K121))+(K126))+(K127))+(K128))+(K129))+(K130))+(K131))+(K132))+(K133))+(K134))+(K135))+(K136))+(K137))+(K138))+(K139))+(K140))+(K141))+(K142))+(K143))+(K144))+(K145)</f>
        <v>16010.5</v>
      </c>
      <c r="L146" s="14">
        <f t="shared" si="52"/>
        <v>-4062.909999999998</v>
      </c>
      <c r="M146" s="15">
        <f t="shared" si="53"/>
        <v>0.74623465850535597</v>
      </c>
      <c r="N146" s="14">
        <f>((((((((((((((((((((((((((((((((N34)+(N45))+(N46))+(N47))+(N71))+(N72))+(N73))+(N86))+(N105))+(N112))+(N117))+(N118))+(N121))+(N126))+(N127))+(N128))+(N129))+(N130))+(N131))+(N132))+(N133))+(N134))+(N135))+(N136))+(N137))+(N138))+(N139))+(N140))+(N141))+(N142))+(N143))+(N144))+(N145)</f>
        <v>400</v>
      </c>
      <c r="O146" s="14">
        <f>((((((((((((((((((((((((((((((((O34)+(O45))+(O46))+(O47))+(O71))+(O72))+(O73))+(O86))+(O105))+(O112))+(O117))+(O118))+(O121))+(O126))+(O127))+(O128))+(O129))+(O130))+(O131))+(O132))+(O133))+(O134))+(O135))+(O136))+(O137))+(O138))+(O139))+(O140))+(O141))+(O142))+(O143))+(O144))+(O145)</f>
        <v>23985</v>
      </c>
      <c r="P146" s="14">
        <f t="shared" si="54"/>
        <v>-23585</v>
      </c>
      <c r="Q146" s="15">
        <f t="shared" si="55"/>
        <v>1.6677089847821555E-2</v>
      </c>
      <c r="R146" s="14">
        <f t="shared" si="56"/>
        <v>31501.130000000005</v>
      </c>
      <c r="S146" s="14">
        <f t="shared" si="57"/>
        <v>68899.5</v>
      </c>
      <c r="T146" s="14">
        <f t="shared" si="58"/>
        <v>-37398.369999999995</v>
      </c>
      <c r="U146" s="15">
        <f t="shared" si="59"/>
        <v>0.45720404357070815</v>
      </c>
    </row>
    <row r="147" spans="1:21" s="5" customFormat="1" ht="18" x14ac:dyDescent="0.35">
      <c r="A147" s="10" t="s">
        <v>149</v>
      </c>
      <c r="B147" s="14">
        <f>(B32)-(B146)</f>
        <v>5790.7099999999982</v>
      </c>
      <c r="C147" s="14">
        <f>(C32)-(C146)</f>
        <v>17684.21</v>
      </c>
      <c r="D147" s="14">
        <f t="shared" si="48"/>
        <v>-11893.5</v>
      </c>
      <c r="E147" s="15">
        <f t="shared" si="49"/>
        <v>0.32745087284079971</v>
      </c>
      <c r="F147" s="14">
        <f>(F32)-(F146)</f>
        <v>-8340.83</v>
      </c>
      <c r="G147" s="14">
        <f>(G32)-(G146)</f>
        <v>-7352</v>
      </c>
      <c r="H147" s="14">
        <f t="shared" si="50"/>
        <v>-988.82999999999993</v>
      </c>
      <c r="I147" s="15">
        <f t="shared" si="51"/>
        <v>1.1344980957562567</v>
      </c>
      <c r="J147" s="14">
        <f>(J32)-(J146)</f>
        <v>4056.6099999999988</v>
      </c>
      <c r="K147" s="14">
        <f>(K32)-(K146)</f>
        <v>-1020.5</v>
      </c>
      <c r="L147" s="14">
        <f t="shared" si="52"/>
        <v>5077.1099999999988</v>
      </c>
      <c r="M147" s="15">
        <f t="shared" si="53"/>
        <v>-3.9751200391964709</v>
      </c>
      <c r="N147" s="14">
        <f>(N32)-(N146)</f>
        <v>385.54999999999995</v>
      </c>
      <c r="O147" s="14">
        <f>(O32)-(O146)</f>
        <v>-12865</v>
      </c>
      <c r="P147" s="14">
        <f t="shared" si="54"/>
        <v>13250.55</v>
      </c>
      <c r="Q147" s="15">
        <f t="shared" si="55"/>
        <v>-2.9968907889623003E-2</v>
      </c>
      <c r="R147" s="14">
        <f t="shared" si="56"/>
        <v>1892.039999999997</v>
      </c>
      <c r="S147" s="14">
        <f t="shared" si="57"/>
        <v>-3553.2900000000009</v>
      </c>
      <c r="T147" s="14">
        <f t="shared" si="58"/>
        <v>5445.3299999999981</v>
      </c>
      <c r="U147" s="15">
        <f t="shared" si="59"/>
        <v>-0.53247553675607584</v>
      </c>
    </row>
    <row r="148" spans="1:21" s="5" customFormat="1" ht="18" x14ac:dyDescent="0.35">
      <c r="A148" s="10" t="s">
        <v>150</v>
      </c>
      <c r="B148" s="16">
        <f>(B147)+(0)</f>
        <v>5790.7099999999982</v>
      </c>
      <c r="C148" s="16">
        <f>(C147)+(0)</f>
        <v>17684.21</v>
      </c>
      <c r="D148" s="16">
        <f t="shared" si="48"/>
        <v>-11893.5</v>
      </c>
      <c r="E148" s="17">
        <f t="shared" si="49"/>
        <v>0.32745087284079971</v>
      </c>
      <c r="F148" s="16">
        <f>(F147)+(0)</f>
        <v>-8340.83</v>
      </c>
      <c r="G148" s="16">
        <f>(G147)+(0)</f>
        <v>-7352</v>
      </c>
      <c r="H148" s="16">
        <f t="shared" si="50"/>
        <v>-988.82999999999993</v>
      </c>
      <c r="I148" s="17">
        <f t="shared" si="51"/>
        <v>1.1344980957562567</v>
      </c>
      <c r="J148" s="16">
        <f>(J147)+(0)</f>
        <v>4056.6099999999988</v>
      </c>
      <c r="K148" s="16">
        <f>(K147)+(0)</f>
        <v>-1020.5</v>
      </c>
      <c r="L148" s="16">
        <f t="shared" si="52"/>
        <v>5077.1099999999988</v>
      </c>
      <c r="M148" s="17">
        <f t="shared" si="53"/>
        <v>-3.9751200391964709</v>
      </c>
      <c r="N148" s="16">
        <f>(N147)+(0)</f>
        <v>385.54999999999995</v>
      </c>
      <c r="O148" s="16">
        <f>(O147)+(0)</f>
        <v>-12865</v>
      </c>
      <c r="P148" s="16">
        <f t="shared" si="54"/>
        <v>13250.55</v>
      </c>
      <c r="Q148" s="17">
        <f t="shared" si="55"/>
        <v>-2.9968907889623003E-2</v>
      </c>
      <c r="R148" s="16">
        <f t="shared" si="56"/>
        <v>1892.039999999997</v>
      </c>
      <c r="S148" s="16">
        <f t="shared" si="57"/>
        <v>-3553.2900000000009</v>
      </c>
      <c r="T148" s="16">
        <f t="shared" si="58"/>
        <v>5445.3299999999981</v>
      </c>
      <c r="U148" s="17">
        <f t="shared" si="59"/>
        <v>-0.53247553675607584</v>
      </c>
    </row>
    <row r="149" spans="1:21" s="5" customFormat="1" ht="18" x14ac:dyDescent="0.3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s="5" customFormat="1" ht="18" x14ac:dyDescent="0.35"/>
    <row r="151" spans="1:21" s="5" customFormat="1" ht="18" x14ac:dyDescent="0.35"/>
    <row r="152" spans="1:21" s="5" customFormat="1" ht="18" x14ac:dyDescent="0.35">
      <c r="A152" s="18" t="s">
        <v>151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5" customFormat="1" ht="18" x14ac:dyDescent="0.35"/>
  </sheetData>
  <mergeCells count="9">
    <mergeCell ref="A152:U152"/>
    <mergeCell ref="A1:U1"/>
    <mergeCell ref="A2:U2"/>
    <mergeCell ref="A3:U3"/>
    <mergeCell ref="B5:E5"/>
    <mergeCell ref="F5:I5"/>
    <mergeCell ref="J5:M5"/>
    <mergeCell ref="N5:Q5"/>
    <mergeCell ref="R5:U5"/>
  </mergeCells>
  <pageMargins left="0.7" right="0.7" top="0.75" bottom="0.75" header="0.3" footer="0.3"/>
  <pageSetup scale="3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vs. Actuals</vt:lpstr>
      <vt:lpstr>'Budget vs. Actuals'!Print_Titles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Stokes, Michelle</cp:lastModifiedBy>
  <cp:lastPrinted>2023-07-06T16:05:20Z</cp:lastPrinted>
  <dcterms:created xsi:type="dcterms:W3CDTF">2023-07-06T15:56:54Z</dcterms:created>
  <dcterms:modified xsi:type="dcterms:W3CDTF">2023-07-06T16:05:22Z</dcterms:modified>
</cp:coreProperties>
</file>